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K Surface\2023\Aurora MO\Operations\"/>
    </mc:Choice>
  </mc:AlternateContent>
  <xr:revisionPtr revIDLastSave="0" documentId="13_ncr:1_{7E9841EA-95DE-482E-85A8-EDA0EEFD8743}" xr6:coauthVersionLast="47" xr6:coauthVersionMax="47" xr10:uidLastSave="{00000000-0000-0000-0000-000000000000}"/>
  <bookViews>
    <workbookView xWindow="43080" yWindow="-120" windowWidth="25440" windowHeight="15990" tabRatio="757" activeTab="8" xr2:uid="{00000000-000D-0000-FFFF-FFFF00000000}"/>
  </bookViews>
  <sheets>
    <sheet name="5-Year Comparison" sheetId="10" r:id="rId1"/>
    <sheet name="Expenses" sheetId="1" r:id="rId2"/>
    <sheet name="Revenues" sheetId="4" r:id="rId3"/>
    <sheet name="Parttimestaff" sheetId="3" r:id="rId4"/>
    <sheet name="Fulltimestaff" sheetId="2" r:id="rId5"/>
    <sheet name="PTstaffdetail1" sheetId="7" r:id="rId6"/>
    <sheet name="Admissionrevenue1" sheetId="5" r:id="rId7"/>
    <sheet name="Rentalrevenue1" sheetId="8" r:id="rId8"/>
    <sheet name="Programrevenue1" sheetId="11" r:id="rId9"/>
  </sheets>
  <definedNames>
    <definedName name="_xlnm.Print_Area" localSheetId="0">'5-Year Comparison'!$A$1:$F$16</definedName>
    <definedName name="_xlnm.Print_Area" localSheetId="6">Admissionrevenue1!$A$1:$S$44</definedName>
    <definedName name="_xlnm.Print_Area" localSheetId="1">Expenses!$A$1:$J$52</definedName>
    <definedName name="_xlnm.Print_Area" localSheetId="4">Fulltimestaff!$A$1:$F$28</definedName>
    <definedName name="_xlnm.Print_Area" localSheetId="3">Parttimestaff!$A$1:$F$30</definedName>
    <definedName name="_xlnm.Print_Area" localSheetId="8">Programrevenue1!$A$1:$O$64</definedName>
    <definedName name="_xlnm.Print_Area" localSheetId="5">PTstaffdetail1!$A$1:$W$65</definedName>
    <definedName name="_xlnm.Print_Area" localSheetId="7">Rentalrevenue1!$A$1:$M$16</definedName>
    <definedName name="_xlnm.Print_Area" localSheetId="2">Revenues!$A$1:$D$24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5" l="1"/>
  <c r="P18" i="5"/>
  <c r="N18" i="5"/>
  <c r="R18" i="5"/>
  <c r="P17" i="5"/>
  <c r="N17" i="5"/>
  <c r="J8" i="5"/>
  <c r="I8" i="5"/>
  <c r="K8" i="5" s="1"/>
  <c r="H8" i="5"/>
  <c r="C8" i="5"/>
  <c r="E8" i="5" s="1"/>
  <c r="Q26" i="11"/>
  <c r="K26" i="11"/>
  <c r="M26" i="11" s="1"/>
  <c r="O26" i="11" s="1"/>
  <c r="G26" i="11"/>
  <c r="Q25" i="11"/>
  <c r="K25" i="11"/>
  <c r="M25" i="11" s="1"/>
  <c r="O25" i="11" s="1"/>
  <c r="O30" i="11" s="1"/>
  <c r="G25" i="11"/>
  <c r="G28" i="11" s="1"/>
  <c r="F28" i="11" s="1"/>
  <c r="G30" i="11" s="1"/>
  <c r="G62" i="11" s="1"/>
  <c r="G35" i="11"/>
  <c r="M35" i="11"/>
  <c r="O35" i="11" s="1"/>
  <c r="Q35" i="11"/>
  <c r="G36" i="11"/>
  <c r="M36" i="11"/>
  <c r="O36" i="11" s="1"/>
  <c r="G37" i="11"/>
  <c r="K37" i="11"/>
  <c r="M37" i="11" s="1"/>
  <c r="O37" i="11" s="1"/>
  <c r="Q37" i="11"/>
  <c r="G38" i="11"/>
  <c r="K38" i="11"/>
  <c r="M38" i="11" s="1"/>
  <c r="O38" i="11" s="1"/>
  <c r="Q38" i="11"/>
  <c r="G39" i="11"/>
  <c r="K14" i="8"/>
  <c r="M14" i="8" s="1"/>
  <c r="K12" i="8"/>
  <c r="M12" i="8" s="1"/>
  <c r="K10" i="8"/>
  <c r="M10" i="8" s="1"/>
  <c r="K8" i="8"/>
  <c r="M8" i="8" s="1"/>
  <c r="K6" i="8"/>
  <c r="M6" i="8" s="1"/>
  <c r="K4" i="8"/>
  <c r="Q6" i="11"/>
  <c r="M6" i="11"/>
  <c r="O6" i="11" s="1"/>
  <c r="G6" i="11"/>
  <c r="G14" i="8"/>
  <c r="G12" i="8"/>
  <c r="G10" i="8"/>
  <c r="G8" i="8"/>
  <c r="G6" i="8"/>
  <c r="G4" i="8"/>
  <c r="J30" i="5"/>
  <c r="J31" i="5"/>
  <c r="J29" i="5"/>
  <c r="H6" i="5"/>
  <c r="H7" i="5"/>
  <c r="H9" i="5"/>
  <c r="H5" i="5"/>
  <c r="C7" i="5"/>
  <c r="C9" i="5"/>
  <c r="C6" i="5"/>
  <c r="C5" i="5"/>
  <c r="O42" i="11" l="1"/>
  <c r="G42" i="11"/>
  <c r="Q49" i="7"/>
  <c r="Q48" i="7"/>
  <c r="Q47" i="7"/>
  <c r="Q46" i="7"/>
  <c r="Q45" i="7"/>
  <c r="Q44" i="7"/>
  <c r="Q43" i="7"/>
  <c r="B26" i="1"/>
  <c r="C17" i="3"/>
  <c r="E17" i="3" s="1"/>
  <c r="AF41" i="7"/>
  <c r="AI55" i="7"/>
  <c r="AI53" i="7"/>
  <c r="AI52" i="7"/>
  <c r="AI51" i="7"/>
  <c r="AI50" i="7"/>
  <c r="AI49" i="7"/>
  <c r="AI48" i="7"/>
  <c r="AI47" i="7"/>
  <c r="AI46" i="7"/>
  <c r="AI45" i="7"/>
  <c r="AI44" i="7"/>
  <c r="AI43" i="7"/>
  <c r="AI32" i="7"/>
  <c r="AI22" i="7"/>
  <c r="AI20" i="7"/>
  <c r="AI19" i="7"/>
  <c r="AI18" i="7"/>
  <c r="AI17" i="7"/>
  <c r="AI16" i="7"/>
  <c r="AI15" i="7"/>
  <c r="AI14" i="7"/>
  <c r="AI13" i="7"/>
  <c r="AI12" i="7"/>
  <c r="AI11" i="7"/>
  <c r="AI10" i="7"/>
  <c r="A41" i="7"/>
  <c r="AC55" i="7"/>
  <c r="AC53" i="7"/>
  <c r="AC52" i="7"/>
  <c r="AC51" i="7"/>
  <c r="AC49" i="7"/>
  <c r="AC47" i="7"/>
  <c r="AC45" i="7"/>
  <c r="AC4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65" i="7" s="1"/>
  <c r="C10" i="3" s="1"/>
  <c r="E10" i="3" s="1"/>
  <c r="K43" i="7"/>
  <c r="AC11" i="7"/>
  <c r="AC12" i="7"/>
  <c r="AC13" i="7"/>
  <c r="AC14" i="7"/>
  <c r="AC15" i="7"/>
  <c r="AC16" i="7"/>
  <c r="AC17" i="7"/>
  <c r="AC18" i="7"/>
  <c r="AC19" i="7"/>
  <c r="AC20" i="7"/>
  <c r="E54" i="7"/>
  <c r="E53" i="7"/>
  <c r="E52" i="7"/>
  <c r="E51" i="7"/>
  <c r="E50" i="7"/>
  <c r="E49" i="7"/>
  <c r="E48" i="7"/>
  <c r="E47" i="7"/>
  <c r="E46" i="7"/>
  <c r="E45" i="7"/>
  <c r="E44" i="7"/>
  <c r="E43" i="7"/>
  <c r="AA41" i="7"/>
  <c r="H41" i="7"/>
  <c r="N41" i="7" s="1"/>
  <c r="T41" i="7" s="1"/>
  <c r="Y41" i="7"/>
  <c r="S41" i="7"/>
  <c r="M41" i="7"/>
  <c r="G41" i="7"/>
  <c r="H8" i="7"/>
  <c r="W65" i="7"/>
  <c r="C14" i="3" s="1"/>
  <c r="E14" i="3" s="1"/>
  <c r="E10" i="2"/>
  <c r="E9" i="2"/>
  <c r="E8" i="2"/>
  <c r="A1" i="3"/>
  <c r="A1" i="2"/>
  <c r="A1" i="4"/>
  <c r="A1" i="1"/>
  <c r="J9" i="5"/>
  <c r="J7" i="5"/>
  <c r="J6" i="5"/>
  <c r="J5" i="5"/>
  <c r="Q65" i="7" l="1"/>
  <c r="C12" i="3" s="1"/>
  <c r="E12" i="3" s="1"/>
  <c r="AI65" i="7"/>
  <c r="C18" i="3" s="1"/>
  <c r="E18" i="3" s="1"/>
  <c r="AC65" i="7"/>
  <c r="E65" i="7"/>
  <c r="C8" i="3" s="1"/>
  <c r="E8" i="3" s="1"/>
  <c r="F51" i="11"/>
  <c r="AC22" i="7"/>
  <c r="AC10" i="7"/>
  <c r="AC32" i="7" l="1"/>
  <c r="C15" i="3" s="1"/>
  <c r="E15" i="3" s="1"/>
  <c r="F29" i="1"/>
  <c r="G5" i="11" l="1"/>
  <c r="I6" i="5"/>
  <c r="I7" i="5"/>
  <c r="I9" i="5"/>
  <c r="I5" i="5"/>
  <c r="E17" i="7"/>
  <c r="E18" i="7"/>
  <c r="E19" i="7"/>
  <c r="E20" i="7"/>
  <c r="E21" i="7"/>
  <c r="K27" i="7"/>
  <c r="Q49" i="11" l="1"/>
  <c r="Q15" i="11"/>
  <c r="Q14" i="11"/>
  <c r="Q5" i="11"/>
  <c r="Q62" i="11" l="1"/>
  <c r="F34" i="1"/>
  <c r="F32" i="1"/>
  <c r="F33" i="1" s="1"/>
  <c r="D22" i="5" l="1"/>
  <c r="N19" i="5" s="1"/>
  <c r="J22" i="5"/>
  <c r="P19" i="5" s="1"/>
  <c r="K20" i="5"/>
  <c r="K19" i="5"/>
  <c r="K18" i="5"/>
  <c r="K17" i="5"/>
  <c r="E20" i="5"/>
  <c r="E19" i="5"/>
  <c r="E18" i="5"/>
  <c r="E17" i="5"/>
  <c r="R19" i="5" l="1"/>
  <c r="K22" i="5"/>
  <c r="K24" i="5" s="1"/>
  <c r="E22" i="5"/>
  <c r="E24" i="5" s="1"/>
  <c r="F13" i="10"/>
  <c r="C41" i="5" l="1"/>
  <c r="B7" i="4" s="1"/>
  <c r="D13" i="10"/>
  <c r="C13" i="10"/>
  <c r="E13" i="10"/>
  <c r="W16" i="7" l="1"/>
  <c r="W15" i="7"/>
  <c r="W14" i="7"/>
  <c r="W13" i="7"/>
  <c r="W12" i="7"/>
  <c r="W11" i="7"/>
  <c r="W10" i="7"/>
  <c r="Q16" i="7"/>
  <c r="Q15" i="7"/>
  <c r="Q14" i="7"/>
  <c r="Q13" i="7"/>
  <c r="Q12" i="7"/>
  <c r="Q11" i="7"/>
  <c r="Q10" i="7"/>
  <c r="E11" i="2"/>
  <c r="W32" i="7" l="1"/>
  <c r="C13" i="3" s="1"/>
  <c r="E13" i="3" s="1"/>
  <c r="Q32" i="7"/>
  <c r="C11" i="3" s="1"/>
  <c r="E11" i="3" s="1"/>
  <c r="E20" i="3" l="1"/>
  <c r="N26" i="5"/>
  <c r="K24" i="7"/>
  <c r="K23" i="7"/>
  <c r="K22" i="7"/>
  <c r="K21" i="7"/>
  <c r="K20" i="7"/>
  <c r="K19" i="7"/>
  <c r="K18" i="7"/>
  <c r="K17" i="7"/>
  <c r="K16" i="7"/>
  <c r="K11" i="7"/>
  <c r="K12" i="7"/>
  <c r="K13" i="7"/>
  <c r="K14" i="7"/>
  <c r="K15" i="7"/>
  <c r="K25" i="7"/>
  <c r="K26" i="7"/>
  <c r="K28" i="7"/>
  <c r="K29" i="7"/>
  <c r="N27" i="5" l="1"/>
  <c r="N49" i="11" l="1"/>
  <c r="M5" i="11"/>
  <c r="P26" i="5" l="1"/>
  <c r="J33" i="5"/>
  <c r="P20" i="5" s="1"/>
  <c r="D33" i="5"/>
  <c r="N20" i="5" s="1"/>
  <c r="K31" i="5"/>
  <c r="E31" i="5"/>
  <c r="K30" i="5"/>
  <c r="E30" i="5"/>
  <c r="K29" i="5"/>
  <c r="E29" i="5"/>
  <c r="K28" i="5"/>
  <c r="E28" i="5"/>
  <c r="P16" i="5"/>
  <c r="N16" i="5"/>
  <c r="R16" i="5" s="1"/>
  <c r="P15" i="5"/>
  <c r="N15" i="5"/>
  <c r="P14" i="5"/>
  <c r="N14" i="5"/>
  <c r="R14" i="5" s="1"/>
  <c r="J11" i="5"/>
  <c r="D11" i="5"/>
  <c r="K9" i="5"/>
  <c r="E9" i="5"/>
  <c r="K7" i="5"/>
  <c r="E7" i="5"/>
  <c r="K6" i="5"/>
  <c r="E6" i="5"/>
  <c r="K5" i="5"/>
  <c r="E5" i="5"/>
  <c r="R17" i="5" l="1"/>
  <c r="R15" i="5"/>
  <c r="P27" i="5"/>
  <c r="R26" i="5"/>
  <c r="R27" i="5" s="1"/>
  <c r="N29" i="5"/>
  <c r="N31" i="5" s="1"/>
  <c r="P23" i="5"/>
  <c r="P24" i="5" s="1"/>
  <c r="N23" i="5"/>
  <c r="N24" i="5" s="1"/>
  <c r="K33" i="5"/>
  <c r="K35" i="5" s="1"/>
  <c r="R20" i="5"/>
  <c r="K11" i="5"/>
  <c r="K13" i="5" s="1"/>
  <c r="E33" i="5"/>
  <c r="E35" i="5" s="1"/>
  <c r="E11" i="5"/>
  <c r="E13" i="5" s="1"/>
  <c r="P29" i="5"/>
  <c r="R21" i="5" l="1"/>
  <c r="R23" i="5" s="1"/>
  <c r="B19" i="4" s="1"/>
  <c r="C40" i="5"/>
  <c r="R29" i="5"/>
  <c r="C42" i="5"/>
  <c r="B8" i="4" s="1"/>
  <c r="B6" i="4" l="1"/>
  <c r="C44" i="5"/>
  <c r="D41" i="5" s="1"/>
  <c r="B19" i="1"/>
  <c r="D40" i="5" l="1"/>
  <c r="D42" i="5"/>
  <c r="D17" i="2" l="1"/>
  <c r="E19" i="2" l="1"/>
  <c r="E21" i="2" s="1"/>
  <c r="E28" i="2" l="1"/>
  <c r="M4" i="8"/>
  <c r="G16" i="8" s="1"/>
  <c r="K10" i="7" l="1"/>
  <c r="K32" i="7" s="1"/>
  <c r="B20" i="4" l="1"/>
  <c r="K49" i="11" l="1"/>
  <c r="C9" i="3" l="1"/>
  <c r="E9" i="3" s="1"/>
  <c r="O49" i="11"/>
  <c r="O62" i="11" s="1"/>
  <c r="G49" i="11"/>
  <c r="G51" i="11" s="1"/>
  <c r="B18" i="4" s="1"/>
  <c r="B22" i="4" s="1"/>
  <c r="E16" i="7" l="1"/>
  <c r="E15" i="7"/>
  <c r="E14" i="7"/>
  <c r="E13" i="7"/>
  <c r="E12" i="7"/>
  <c r="E11" i="7"/>
  <c r="E10" i="7"/>
  <c r="E32" i="7" l="1"/>
  <c r="C7" i="3" s="1"/>
  <c r="G57" i="11" l="1"/>
  <c r="K15" i="11"/>
  <c r="M15" i="11" s="1"/>
  <c r="O15" i="11" s="1"/>
  <c r="G15" i="11"/>
  <c r="K14" i="11"/>
  <c r="G14" i="11"/>
  <c r="O5" i="11"/>
  <c r="O8" i="11" s="1"/>
  <c r="G8" i="11"/>
  <c r="B23" i="1"/>
  <c r="G17" i="11" l="1"/>
  <c r="G19" i="11" s="1"/>
  <c r="M14" i="11"/>
  <c r="O14" i="11" s="1"/>
  <c r="O19" i="11" s="1"/>
  <c r="B13" i="4" l="1"/>
  <c r="E7" i="3" l="1"/>
  <c r="B6" i="1" l="1"/>
  <c r="B15" i="4"/>
  <c r="B10" i="4" l="1"/>
  <c r="B24" i="4" l="1"/>
  <c r="B41" i="1" s="1"/>
  <c r="C7" i="10" l="1"/>
  <c r="D7" i="10" s="1"/>
  <c r="E7" i="10" s="1"/>
  <c r="F7" i="10" s="1"/>
  <c r="B42" i="1"/>
  <c r="C10" i="4"/>
  <c r="C22" i="4"/>
  <c r="C15" i="4"/>
  <c r="B7" i="10"/>
  <c r="C24" i="4" l="1"/>
  <c r="B46" i="1"/>
  <c r="E22" i="3" l="1"/>
  <c r="E28" i="3" s="1"/>
  <c r="E26" i="3" l="1"/>
  <c r="E30" i="3" s="1"/>
  <c r="B7" i="1" s="1"/>
  <c r="B8" i="1" s="1"/>
  <c r="B50" i="1" l="1"/>
  <c r="C23" i="1" l="1"/>
  <c r="C8" i="1"/>
  <c r="C46" i="1"/>
  <c r="B56" i="1"/>
  <c r="B6" i="10" s="1"/>
  <c r="B9" i="10" s="1"/>
  <c r="B11" i="10"/>
  <c r="F11" i="10"/>
  <c r="E11" i="10"/>
  <c r="D11" i="10"/>
  <c r="C11" i="10"/>
  <c r="C6" i="10" l="1"/>
  <c r="D6" i="10" s="1"/>
  <c r="E6" i="10" s="1"/>
  <c r="F6" i="10" s="1"/>
  <c r="B8" i="10"/>
  <c r="E8" i="10" l="1"/>
  <c r="E9" i="10"/>
  <c r="D9" i="10"/>
  <c r="D8" i="10"/>
  <c r="C8" i="10"/>
  <c r="C9" i="10"/>
  <c r="F8" i="10"/>
  <c r="F9" i="10"/>
  <c r="C16" i="3"/>
  <c r="C20" i="3" l="1"/>
  <c r="E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Darin Barr</author>
  </authors>
  <commentList>
    <comment ref="N16" authorId="0" shapeId="0" xr:uid="{00000000-0006-0000-0600-000001000000}">
      <text>
        <r>
          <rPr>
            <sz val="10"/>
            <rFont val="Arial"/>
          </rPr>
          <t>Average of 3 individuals per household membership</t>
        </r>
      </text>
    </comment>
    <comment ref="P16" authorId="0" shapeId="0" xr:uid="{00000000-0006-0000-0600-000002000000}">
      <text>
        <r>
          <rPr>
            <sz val="10"/>
            <rFont val="Arial"/>
          </rPr>
          <t>Average of 3 individuals per household membership</t>
        </r>
      </text>
    </comment>
  </commentList>
</comments>
</file>

<file path=xl/sharedStrings.xml><?xml version="1.0" encoding="utf-8"?>
<sst xmlns="http://schemas.openxmlformats.org/spreadsheetml/2006/main" count="600" uniqueCount="247">
  <si>
    <t>Year 1</t>
  </si>
  <si>
    <t>Year 2</t>
  </si>
  <si>
    <t>Year 3</t>
  </si>
  <si>
    <t>Year 4</t>
  </si>
  <si>
    <t>Year 5</t>
  </si>
  <si>
    <t>Expenses</t>
  </si>
  <si>
    <t>Revenue</t>
  </si>
  <si>
    <t>Percentage w/ Capital</t>
  </si>
  <si>
    <t>Percentage w/out Capital</t>
  </si>
  <si>
    <t>Capital (cumulative)</t>
  </si>
  <si>
    <t>Category</t>
  </si>
  <si>
    <t>Personnel</t>
  </si>
  <si>
    <t>Full-time</t>
  </si>
  <si>
    <t>Part-time</t>
  </si>
  <si>
    <t>Total</t>
  </si>
  <si>
    <t>Commodities</t>
  </si>
  <si>
    <t>Office supplies (forms, ID, film)</t>
  </si>
  <si>
    <t>Chemicals</t>
  </si>
  <si>
    <t>Maintenance/repair/materials</t>
  </si>
  <si>
    <t>Janitor supplies</t>
  </si>
  <si>
    <t>Recreation supplies</t>
  </si>
  <si>
    <t>Safety supplies</t>
  </si>
  <si>
    <t>Uniforms</t>
  </si>
  <si>
    <t>Printing/postage</t>
  </si>
  <si>
    <t>Concessions (food/supplies)</t>
  </si>
  <si>
    <t>Other Misc. expenses</t>
  </si>
  <si>
    <t>Fuel/Mileage</t>
  </si>
  <si>
    <t>Contractual</t>
  </si>
  <si>
    <t>Sq Ft.</t>
  </si>
  <si>
    <t>Water/Sewer</t>
  </si>
  <si>
    <t>Trash</t>
  </si>
  <si>
    <t>Insurance (property &amp; liability)</t>
  </si>
  <si>
    <t>Communications (phone)</t>
  </si>
  <si>
    <t>Equipment Maintenance</t>
  </si>
  <si>
    <t>Rental equipment</t>
  </si>
  <si>
    <t>Advertising</t>
  </si>
  <si>
    <t>Training</t>
  </si>
  <si>
    <t>Conference</t>
  </si>
  <si>
    <t>Memberhip Dues/subscriptions</t>
  </si>
  <si>
    <t>IT licenses &amp; charges (software)</t>
  </si>
  <si>
    <t>Deposit Service</t>
  </si>
  <si>
    <t>Other</t>
  </si>
  <si>
    <t>City Support Charge Backs</t>
  </si>
  <si>
    <t>Grand Total w/out Replacement Fund</t>
  </si>
  <si>
    <t>Replacement fund</t>
  </si>
  <si>
    <t>Grand Total</t>
  </si>
  <si>
    <t>Fees</t>
  </si>
  <si>
    <t>Daily Admission</t>
  </si>
  <si>
    <t>Programs</t>
  </si>
  <si>
    <t>Birthday Parties</t>
  </si>
  <si>
    <t>Concessions</t>
  </si>
  <si>
    <t>Facility Rentals</t>
  </si>
  <si>
    <t>Full Time Staff</t>
  </si>
  <si>
    <t>Pay Grade</t>
  </si>
  <si>
    <t>Salary</t>
  </si>
  <si>
    <t>Positions</t>
  </si>
  <si>
    <t>Salaries</t>
  </si>
  <si>
    <t>Insurance</t>
  </si>
  <si>
    <t>Pension - 14%</t>
  </si>
  <si>
    <t>Total Full-Time Staff</t>
  </si>
  <si>
    <t>Part-Time</t>
  </si>
  <si>
    <t>Rate</t>
  </si>
  <si>
    <t>Hours</t>
  </si>
  <si>
    <t>Weeks</t>
  </si>
  <si>
    <t>Days</t>
  </si>
  <si>
    <t>Shift</t>
  </si>
  <si>
    <t>Time</t>
  </si>
  <si>
    <t>Staff</t>
  </si>
  <si>
    <t>Mon</t>
  </si>
  <si>
    <t>11:30A-6:30P</t>
  </si>
  <si>
    <t>Tue</t>
  </si>
  <si>
    <t>Wed</t>
  </si>
  <si>
    <t>Thu</t>
  </si>
  <si>
    <t>Fri</t>
  </si>
  <si>
    <t>Sat</t>
  </si>
  <si>
    <t>Sun</t>
  </si>
  <si>
    <t>Res</t>
  </si>
  <si>
    <t>Non</t>
  </si>
  <si>
    <t>Number</t>
  </si>
  <si>
    <t>Households</t>
  </si>
  <si>
    <t>Youth</t>
  </si>
  <si>
    <t>Adult</t>
  </si>
  <si>
    <t>Household</t>
  </si>
  <si>
    <t>Population</t>
  </si>
  <si>
    <t>Senior</t>
  </si>
  <si>
    <t>Attendance</t>
  </si>
  <si>
    <t>Punch Pass (10 visits)</t>
  </si>
  <si>
    <t>Punch Pass</t>
  </si>
  <si>
    <t>Under 2</t>
  </si>
  <si>
    <t>Youth (2-17)</t>
  </si>
  <si>
    <t>12 Punch</t>
  </si>
  <si>
    <t>Daily</t>
  </si>
  <si>
    <t>Total Attendance</t>
  </si>
  <si>
    <t>Months</t>
  </si>
  <si>
    <t>Pop - Pentration</t>
  </si>
  <si>
    <t>Total Attendance Factors for Concessions</t>
  </si>
  <si>
    <t>House - Penetration</t>
  </si>
  <si>
    <t>Daily Fees</t>
  </si>
  <si>
    <t>Member Units</t>
  </si>
  <si>
    <t>Revenue Summary</t>
  </si>
  <si>
    <t>10-Punch</t>
  </si>
  <si>
    <t>Annual Passes</t>
  </si>
  <si>
    <t>Rentals</t>
  </si>
  <si>
    <t>Classes</t>
  </si>
  <si>
    <t>Sessions</t>
  </si>
  <si>
    <t>Participants</t>
  </si>
  <si>
    <t>Passes</t>
  </si>
  <si>
    <t>Days/Wk</t>
  </si>
  <si>
    <t>Instructors</t>
  </si>
  <si>
    <t>Summer</t>
  </si>
  <si>
    <t>Part</t>
  </si>
  <si>
    <t>SAT</t>
  </si>
  <si>
    <t>Capacity Rate</t>
  </si>
  <si>
    <t>Fee</t>
  </si>
  <si>
    <t>Birthday Party Staff</t>
  </si>
  <si>
    <t>Parties</t>
  </si>
  <si>
    <t>Total Birthday Parties</t>
  </si>
  <si>
    <t>Events</t>
  </si>
  <si>
    <t>FICA - 7.65%</t>
  </si>
  <si>
    <t>Primary</t>
  </si>
  <si>
    <t>Secondary</t>
  </si>
  <si>
    <t>Front Desk</t>
  </si>
  <si>
    <t>Lead Concessions</t>
  </si>
  <si>
    <t>Custodial Services ($.15/sq.ft/mo)</t>
  </si>
  <si>
    <t>bldg</t>
  </si>
  <si>
    <t>Contract services (HVAC, FireAlarm, Misc)</t>
  </si>
  <si>
    <t xml:space="preserve">Aurora Recreation Center </t>
  </si>
  <si>
    <t>Preliminary Operations Budget 5 Year Comparison</t>
  </si>
  <si>
    <t>Preliminary Operations Budget  Expenses</t>
  </si>
  <si>
    <t>Preliminary Operations Budget Revenues</t>
  </si>
  <si>
    <t>Preliminary Operations Budget Full Time Staff</t>
  </si>
  <si>
    <t>Preliminary Operations Budget Part Time Staff</t>
  </si>
  <si>
    <t>Recreation Coordinator</t>
  </si>
  <si>
    <t>Benefits - 35%</t>
  </si>
  <si>
    <t>Fitness Attendant</t>
  </si>
  <si>
    <t>Front Desk (School)</t>
  </si>
  <si>
    <t>Front Desk (Summer)</t>
  </si>
  <si>
    <t>Lead Concessions (School)</t>
  </si>
  <si>
    <t>Lead Concessions (Summer)</t>
  </si>
  <si>
    <t>Concessions (School)</t>
  </si>
  <si>
    <t>Concessions (Summer)</t>
  </si>
  <si>
    <t>Fitness Attendant (School)</t>
  </si>
  <si>
    <t>Fitness Attendant (Summer)</t>
  </si>
  <si>
    <t>5:45 - 8:00A</t>
  </si>
  <si>
    <t>5:00 - 9:15P</t>
  </si>
  <si>
    <t xml:space="preserve">School </t>
  </si>
  <si>
    <t>7:45A - 6:15P</t>
  </si>
  <si>
    <t>Noon - 6:15P</t>
  </si>
  <si>
    <t>5:00 - 8:15P</t>
  </si>
  <si>
    <t>9:45A - 6:15P</t>
  </si>
  <si>
    <t>10:00A - 3:00P</t>
  </si>
  <si>
    <t>5:45 - 10:00A</t>
  </si>
  <si>
    <t>3:00 - 9:15P</t>
  </si>
  <si>
    <t>3:00 - 6:15P</t>
  </si>
  <si>
    <t>11:45A-6:15P</t>
  </si>
  <si>
    <t>3:30 - 9:15P</t>
  </si>
  <si>
    <t>3:30 - 6:15P</t>
  </si>
  <si>
    <t>HOURS OF OPERATION</t>
  </si>
  <si>
    <t>MON - THU</t>
  </si>
  <si>
    <t>6AM - 9PM</t>
  </si>
  <si>
    <t>FRI</t>
  </si>
  <si>
    <t>6AM - 6PM</t>
  </si>
  <si>
    <t>8AM - 6PM</t>
  </si>
  <si>
    <t>SUN</t>
  </si>
  <si>
    <t>NOON - 6PM</t>
  </si>
  <si>
    <t>SCHOOL</t>
  </si>
  <si>
    <t>SUMMER</t>
  </si>
  <si>
    <t>6AM - 8PM</t>
  </si>
  <si>
    <t>10AM - 6PM</t>
  </si>
  <si>
    <t>10:00A - 4:00P</t>
  </si>
  <si>
    <t>12:00 - 4:00P</t>
  </si>
  <si>
    <t>3:00 - 8:15P</t>
  </si>
  <si>
    <t>7:45A - NOON</t>
  </si>
  <si>
    <t>9:45A - NOON</t>
  </si>
  <si>
    <t>NOON - 6:15P</t>
  </si>
  <si>
    <t>Bldg Supervisor</t>
  </si>
  <si>
    <t>Bldg Supervisor (School)</t>
  </si>
  <si>
    <t>Bldg Supervisor (Summer)</t>
  </si>
  <si>
    <t>Custodial</t>
  </si>
  <si>
    <t>8:00A - 6:00P</t>
  </si>
  <si>
    <t>3:30 - 8:15P</t>
  </si>
  <si>
    <t>10:00A - 6:00P</t>
  </si>
  <si>
    <t>12:00 - 6:00P</t>
  </si>
  <si>
    <t>Custodial (School)</t>
  </si>
  <si>
    <t>Custodial (Summer)</t>
  </si>
  <si>
    <t>Utilities $2.50/sq.ft.</t>
  </si>
  <si>
    <t>Annual Pass</t>
  </si>
  <si>
    <t>Resident</t>
  </si>
  <si>
    <t>Non-Resident</t>
  </si>
  <si>
    <t>pool</t>
  </si>
  <si>
    <t>NOON - 4:00P</t>
  </si>
  <si>
    <t>Monett Area YMCA</t>
  </si>
  <si>
    <t>Republic</t>
  </si>
  <si>
    <t>Republic &amp; Cox</t>
  </si>
  <si>
    <t>Day-Youth</t>
  </si>
  <si>
    <t>Day-Adult</t>
  </si>
  <si>
    <t>Senior (60+)</t>
  </si>
  <si>
    <t>Monthly</t>
  </si>
  <si>
    <t>2 Visits per Week for 50 Weeks</t>
  </si>
  <si>
    <t>days/year</t>
  </si>
  <si>
    <t>Gymnasium</t>
  </si>
  <si>
    <t>Multi Use Room</t>
  </si>
  <si>
    <t>Large Event Room</t>
  </si>
  <si>
    <t>Large Event Room (1, 2 &amp; 3)</t>
  </si>
  <si>
    <t>Small Event Room</t>
  </si>
  <si>
    <t>Fitness</t>
  </si>
  <si>
    <t>Lock-ins</t>
  </si>
  <si>
    <t>Specialty Group Exercise</t>
  </si>
  <si>
    <t>School</t>
  </si>
  <si>
    <t>Recreation Classes</t>
  </si>
  <si>
    <t>M/W</t>
  </si>
  <si>
    <t>Sports Leagues</t>
  </si>
  <si>
    <t>Youth Volleyball</t>
  </si>
  <si>
    <t>Youth Basketball</t>
  </si>
  <si>
    <t>Adult Volleyball</t>
  </si>
  <si>
    <t>Adult Basketball</t>
  </si>
  <si>
    <t>Dodgeball</t>
  </si>
  <si>
    <t>Officials</t>
  </si>
  <si>
    <t>Special Events</t>
  </si>
  <si>
    <t>Program Staff</t>
  </si>
  <si>
    <t>Bank charges (75% of transactions)</t>
  </si>
  <si>
    <t>Recreation</t>
  </si>
  <si>
    <t>Cardio Equipment &amp; Preventative Maint</t>
  </si>
  <si>
    <t>Capacity</t>
  </si>
  <si>
    <t>Banquet</t>
  </si>
  <si>
    <t>Theatre/Lecture</t>
  </si>
  <si>
    <t>Comm Room A</t>
  </si>
  <si>
    <t>Comm Room B</t>
  </si>
  <si>
    <t>Comm Room C</t>
  </si>
  <si>
    <t>Comm Room A&amp;B</t>
  </si>
  <si>
    <t>Banquet Cap.</t>
  </si>
  <si>
    <t>Maintenance/Custodian</t>
  </si>
  <si>
    <t>Monitor services (Fire, Burgular, etc.)</t>
  </si>
  <si>
    <t>10-Punch Pass</t>
  </si>
  <si>
    <t>Recreation Program</t>
  </si>
  <si>
    <t>Parks and Rec Director</t>
  </si>
  <si>
    <t>Teams/players</t>
  </si>
  <si>
    <t>Medicare - 1.45%</t>
  </si>
  <si>
    <t>Benefits (FICA, SS &amp; Medicare)</t>
  </si>
  <si>
    <t>Pickleball</t>
  </si>
  <si>
    <t>Childwatch</t>
  </si>
  <si>
    <t>AM</t>
  </si>
  <si>
    <t>PM</t>
  </si>
  <si>
    <t>M-TH</t>
  </si>
  <si>
    <t>Senior Couple</t>
  </si>
  <si>
    <t>3 Visits per Week for 50 Weeks</t>
  </si>
  <si>
    <t>M-SAT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</si>
</sst>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%"/>
    <numFmt numFmtId="169" formatCode="0.0"/>
  </numFmts>
  <fonts count="14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2" applyNumberFormat="1" applyFont="1"/>
    <xf numFmtId="165" fontId="3" fillId="0" borderId="0" xfId="0" applyNumberFormat="1" applyFont="1"/>
    <xf numFmtId="0" fontId="3" fillId="0" borderId="0" xfId="0" applyFont="1"/>
    <xf numFmtId="166" fontId="2" fillId="0" borderId="0" xfId="0" applyNumberFormat="1" applyFont="1"/>
    <xf numFmtId="0" fontId="7" fillId="0" borderId="0" xfId="0" applyFont="1"/>
    <xf numFmtId="8" fontId="2" fillId="0" borderId="0" xfId="0" applyNumberFormat="1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6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2" fillId="0" borderId="0" xfId="0" applyNumberFormat="1" applyFont="1" applyAlignment="1">
      <alignment horizontal="right"/>
    </xf>
    <xf numFmtId="3" fontId="7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2" xfId="0" applyFont="1" applyBorder="1"/>
    <xf numFmtId="166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2" fillId="0" borderId="4" xfId="0" applyNumberFormat="1" applyFont="1" applyBorder="1"/>
    <xf numFmtId="0" fontId="2" fillId="0" borderId="5" xfId="0" applyFont="1" applyBorder="1"/>
    <xf numFmtId="166" fontId="2" fillId="0" borderId="6" xfId="0" applyNumberFormat="1" applyFont="1" applyBorder="1"/>
    <xf numFmtId="3" fontId="2" fillId="0" borderId="6" xfId="0" applyNumberFormat="1" applyFont="1" applyBorder="1"/>
    <xf numFmtId="0" fontId="2" fillId="0" borderId="7" xfId="0" applyFont="1" applyBorder="1"/>
    <xf numFmtId="166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8" fontId="9" fillId="0" borderId="1" xfId="0" applyNumberFormat="1" applyFont="1" applyBorder="1"/>
    <xf numFmtId="8" fontId="9" fillId="0" borderId="0" xfId="0" applyNumberFormat="1" applyFont="1"/>
    <xf numFmtId="0" fontId="9" fillId="0" borderId="10" xfId="0" applyFont="1" applyBorder="1"/>
    <xf numFmtId="0" fontId="9" fillId="0" borderId="11" xfId="0" applyFont="1" applyBorder="1"/>
    <xf numFmtId="8" fontId="9" fillId="0" borderId="11" xfId="0" applyNumberFormat="1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169" fontId="9" fillId="0" borderId="10" xfId="0" applyNumberFormat="1" applyFont="1" applyBorder="1"/>
    <xf numFmtId="0" fontId="9" fillId="0" borderId="0" xfId="0" applyFont="1" applyAlignment="1">
      <alignment horizontal="right"/>
    </xf>
    <xf numFmtId="9" fontId="9" fillId="0" borderId="0" xfId="0" applyNumberFormat="1" applyFont="1"/>
    <xf numFmtId="0" fontId="10" fillId="0" borderId="0" xfId="0" applyFont="1" applyAlignment="1">
      <alignment horizontal="right"/>
    </xf>
    <xf numFmtId="8" fontId="10" fillId="0" borderId="0" xfId="0" applyNumberFormat="1" applyFont="1"/>
    <xf numFmtId="6" fontId="9" fillId="0" borderId="0" xfId="0" applyNumberFormat="1" applyFont="1"/>
    <xf numFmtId="8" fontId="10" fillId="0" borderId="11" xfId="0" applyNumberFormat="1" applyFont="1" applyBorder="1"/>
    <xf numFmtId="168" fontId="0" fillId="0" borderId="0" xfId="0" applyNumberFormat="1"/>
    <xf numFmtId="167" fontId="0" fillId="0" borderId="0" xfId="0" applyNumberFormat="1"/>
    <xf numFmtId="168" fontId="2" fillId="0" borderId="0" xfId="0" applyNumberFormat="1" applyFont="1"/>
    <xf numFmtId="169" fontId="2" fillId="0" borderId="0" xfId="0" applyNumberFormat="1" applyFont="1"/>
    <xf numFmtId="169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Border="1"/>
    <xf numFmtId="164" fontId="7" fillId="0" borderId="0" xfId="0" applyNumberFormat="1" applyFont="1"/>
    <xf numFmtId="0" fontId="2" fillId="2" borderId="0" xfId="0" applyFont="1" applyFill="1" applyAlignment="1">
      <alignment horizontal="center"/>
    </xf>
    <xf numFmtId="166" fontId="2" fillId="2" borderId="6" xfId="0" applyNumberFormat="1" applyFont="1" applyFill="1" applyBorder="1"/>
    <xf numFmtId="166" fontId="2" fillId="2" borderId="9" xfId="0" applyNumberFormat="1" applyFont="1" applyFill="1" applyBorder="1"/>
    <xf numFmtId="166" fontId="2" fillId="2" borderId="6" xfId="0" applyNumberFormat="1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6" fontId="3" fillId="2" borderId="0" xfId="0" applyNumberFormat="1" applyFont="1" applyFill="1" applyAlignment="1">
      <alignment horizontal="center"/>
    </xf>
    <xf numFmtId="8" fontId="3" fillId="2" borderId="0" xfId="0" applyNumberFormat="1" applyFont="1" applyFill="1" applyAlignment="1">
      <alignment horizontal="center"/>
    </xf>
    <xf numFmtId="0" fontId="9" fillId="2" borderId="11" xfId="0" applyFont="1" applyFill="1" applyBorder="1"/>
    <xf numFmtId="8" fontId="9" fillId="2" borderId="0" xfId="0" applyNumberFormat="1" applyFont="1" applyFill="1"/>
    <xf numFmtId="8" fontId="10" fillId="2" borderId="11" xfId="0" applyNumberFormat="1" applyFont="1" applyFill="1" applyBorder="1"/>
    <xf numFmtId="0" fontId="9" fillId="2" borderId="0" xfId="0" applyFont="1" applyFill="1"/>
    <xf numFmtId="8" fontId="9" fillId="2" borderId="11" xfId="0" applyNumberFormat="1" applyFont="1" applyFill="1" applyBorder="1"/>
    <xf numFmtId="6" fontId="9" fillId="2" borderId="11" xfId="0" applyNumberFormat="1" applyFont="1" applyFill="1" applyBorder="1"/>
    <xf numFmtId="0" fontId="2" fillId="0" borderId="11" xfId="0" applyFont="1" applyBorder="1" applyAlignment="1">
      <alignment horizontal="center"/>
    </xf>
    <xf numFmtId="6" fontId="3" fillId="0" borderId="11" xfId="0" applyNumberFormat="1" applyFont="1" applyBorder="1" applyAlignment="1">
      <alignment horizontal="center"/>
    </xf>
    <xf numFmtId="8" fontId="10" fillId="2" borderId="13" xfId="0" applyNumberFormat="1" applyFont="1" applyFill="1" applyBorder="1"/>
    <xf numFmtId="8" fontId="10" fillId="2" borderId="0" xfId="0" applyNumberFormat="1" applyFont="1" applyFill="1"/>
    <xf numFmtId="8" fontId="3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6" fontId="2" fillId="0" borderId="6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0" fontId="4" fillId="0" borderId="5" xfId="0" applyFont="1" applyBorder="1"/>
    <xf numFmtId="164" fontId="2" fillId="2" borderId="0" xfId="1" applyNumberFormat="1" applyFont="1" applyFill="1" applyBorder="1"/>
    <xf numFmtId="164" fontId="2" fillId="0" borderId="0" xfId="1" applyNumberFormat="1" applyFont="1" applyFill="1" applyBorder="1"/>
    <xf numFmtId="165" fontId="2" fillId="2" borderId="0" xfId="2" applyNumberFormat="1" applyFont="1" applyFill="1" applyBorder="1"/>
    <xf numFmtId="168" fontId="2" fillId="0" borderId="0" xfId="2" applyNumberFormat="1" applyFont="1" applyFill="1" applyBorder="1"/>
    <xf numFmtId="164" fontId="2" fillId="0" borderId="0" xfId="1" applyNumberFormat="1" applyFont="1" applyBorder="1" applyAlignment="1">
      <alignment horizontal="right"/>
    </xf>
    <xf numFmtId="39" fontId="2" fillId="0" borderId="0" xfId="1" applyNumberFormat="1" applyFont="1" applyFill="1" applyBorder="1"/>
    <xf numFmtId="167" fontId="2" fillId="2" borderId="6" xfId="0" applyNumberFormat="1" applyFont="1" applyFill="1" applyBorder="1" applyAlignment="1">
      <alignment horizontal="center"/>
    </xf>
    <xf numFmtId="6" fontId="2" fillId="0" borderId="0" xfId="0" applyNumberFormat="1" applyFont="1"/>
    <xf numFmtId="10" fontId="2" fillId="0" borderId="0" xfId="0" applyNumberFormat="1" applyFont="1"/>
    <xf numFmtId="0" fontId="2" fillId="0" borderId="8" xfId="0" applyFont="1" applyBorder="1"/>
    <xf numFmtId="0" fontId="0" fillId="0" borderId="8" xfId="0" applyBorder="1"/>
    <xf numFmtId="167" fontId="2" fillId="2" borderId="9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7" fontId="2" fillId="0" borderId="6" xfId="1" applyNumberFormat="1" applyFont="1" applyBorder="1" applyAlignment="1">
      <alignment horizontal="right"/>
    </xf>
    <xf numFmtId="167" fontId="8" fillId="2" borderId="6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167" fontId="4" fillId="0" borderId="6" xfId="0" applyNumberFormat="1" applyFont="1" applyBorder="1" applyAlignment="1">
      <alignment horizontal="right"/>
    </xf>
    <xf numFmtId="166" fontId="2" fillId="0" borderId="8" xfId="0" applyNumberFormat="1" applyFont="1" applyBorder="1"/>
    <xf numFmtId="167" fontId="2" fillId="2" borderId="9" xfId="0" applyNumberFormat="1" applyFont="1" applyFill="1" applyBorder="1" applyAlignment="1">
      <alignment horizontal="right"/>
    </xf>
    <xf numFmtId="167" fontId="2" fillId="0" borderId="0" xfId="0" applyNumberFormat="1" applyFont="1"/>
    <xf numFmtId="167" fontId="2" fillId="2" borderId="0" xfId="1" applyNumberFormat="1" applyFont="1" applyFill="1" applyBorder="1"/>
    <xf numFmtId="168" fontId="2" fillId="0" borderId="0" xfId="1" applyNumberFormat="1" applyFont="1" applyFill="1" applyBorder="1"/>
    <xf numFmtId="168" fontId="4" fillId="0" borderId="0" xfId="1" applyNumberFormat="1" applyFont="1" applyFill="1" applyBorder="1"/>
    <xf numFmtId="167" fontId="2" fillId="2" borderId="0" xfId="2" applyNumberFormat="1" applyFont="1" applyFill="1" applyBorder="1"/>
    <xf numFmtId="168" fontId="2" fillId="3" borderId="0" xfId="2" applyNumberFormat="1" applyFont="1" applyFill="1" applyBorder="1"/>
    <xf numFmtId="167" fontId="2" fillId="0" borderId="0" xfId="2" applyNumberFormat="1" applyFont="1" applyBorder="1"/>
    <xf numFmtId="167" fontId="2" fillId="0" borderId="0" xfId="1" applyNumberFormat="1" applyFont="1" applyBorder="1"/>
    <xf numFmtId="0" fontId="5" fillId="0" borderId="7" xfId="0" applyFont="1" applyBorder="1"/>
    <xf numFmtId="167" fontId="3" fillId="2" borderId="8" xfId="2" applyNumberFormat="1" applyFont="1" applyFill="1" applyBorder="1"/>
    <xf numFmtId="168" fontId="2" fillId="3" borderId="8" xfId="2" applyNumberFormat="1" applyFont="1" applyFill="1" applyBorder="1"/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7" fontId="3" fillId="0" borderId="19" xfId="0" applyNumberFormat="1" applyFont="1" applyBorder="1" applyAlignment="1">
      <alignment horizontal="center"/>
    </xf>
    <xf numFmtId="0" fontId="0" fillId="0" borderId="18" xfId="0" applyBorder="1"/>
    <xf numFmtId="166" fontId="3" fillId="0" borderId="18" xfId="0" applyNumberFormat="1" applyFont="1" applyBorder="1" applyAlignment="1">
      <alignment horizontal="center"/>
    </xf>
    <xf numFmtId="167" fontId="3" fillId="0" borderId="19" xfId="0" applyNumberFormat="1" applyFont="1" applyBorder="1" applyAlignment="1">
      <alignment horizontal="right"/>
    </xf>
    <xf numFmtId="0" fontId="4" fillId="0" borderId="0" xfId="0" applyFont="1"/>
    <xf numFmtId="165" fontId="3" fillId="2" borderId="0" xfId="0" applyNumberFormat="1" applyFont="1" applyFill="1"/>
    <xf numFmtId="165" fontId="2" fillId="0" borderId="0" xfId="2" applyNumberFormat="1" applyFont="1" applyFill="1" applyBorder="1"/>
    <xf numFmtId="165" fontId="2" fillId="0" borderId="0" xfId="2" applyNumberFormat="1" applyFont="1" applyFill="1"/>
    <xf numFmtId="0" fontId="3" fillId="0" borderId="0" xfId="0" applyFont="1" applyAlignment="1">
      <alignment horizontal="left"/>
    </xf>
    <xf numFmtId="6" fontId="0" fillId="0" borderId="0" xfId="0" applyNumberFormat="1"/>
    <xf numFmtId="0" fontId="1" fillId="0" borderId="0" xfId="0" applyFont="1"/>
    <xf numFmtId="0" fontId="3" fillId="0" borderId="18" xfId="0" applyFont="1" applyBorder="1"/>
    <xf numFmtId="2" fontId="3" fillId="2" borderId="0" xfId="0" applyNumberFormat="1" applyFont="1" applyFill="1" applyAlignment="1">
      <alignment horizontal="center"/>
    </xf>
    <xf numFmtId="0" fontId="2" fillId="0" borderId="3" xfId="0" applyFont="1" applyBorder="1"/>
    <xf numFmtId="164" fontId="2" fillId="0" borderId="0" xfId="1" applyNumberFormat="1" applyFont="1" applyFill="1" applyBorder="1" applyAlignment="1">
      <alignment horizontal="right"/>
    </xf>
    <xf numFmtId="0" fontId="3" fillId="0" borderId="20" xfId="0" applyFont="1" applyBorder="1" applyAlignment="1">
      <alignment horizontal="center"/>
    </xf>
    <xf numFmtId="167" fontId="2" fillId="0" borderId="11" xfId="0" applyNumberFormat="1" applyFont="1" applyBorder="1"/>
    <xf numFmtId="167" fontId="2" fillId="0" borderId="11" xfId="1" applyNumberFormat="1" applyFont="1" applyFill="1" applyBorder="1"/>
    <xf numFmtId="167" fontId="4" fillId="0" borderId="11" xfId="1" applyNumberFormat="1" applyFont="1" applyFill="1" applyBorder="1"/>
    <xf numFmtId="167" fontId="2" fillId="0" borderId="11" xfId="2" applyNumberFormat="1" applyFont="1" applyFill="1" applyBorder="1"/>
    <xf numFmtId="167" fontId="3" fillId="0" borderId="21" xfId="2" applyNumberFormat="1" applyFont="1" applyFill="1" applyBorder="1"/>
    <xf numFmtId="1" fontId="2" fillId="0" borderId="0" xfId="0" applyNumberFormat="1" applyFont="1" applyAlignment="1">
      <alignment horizontal="center"/>
    </xf>
    <xf numFmtId="167" fontId="2" fillId="4" borderId="0" xfId="1" applyNumberFormat="1" applyFont="1" applyFill="1" applyBorder="1"/>
    <xf numFmtId="167" fontId="2" fillId="0" borderId="0" xfId="1" applyNumberFormat="1" applyFont="1" applyFill="1" applyBorder="1"/>
    <xf numFmtId="167" fontId="2" fillId="2" borderId="22" xfId="1" applyNumberFormat="1" applyFont="1" applyFill="1" applyBorder="1"/>
    <xf numFmtId="8" fontId="10" fillId="2" borderId="11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 vertical="top"/>
    </xf>
    <xf numFmtId="39" fontId="2" fillId="0" borderId="0" xfId="1" applyNumberFormat="1" applyFont="1" applyFill="1" applyBorder="1" applyAlignment="1">
      <alignment horizontal="right" vertical="top"/>
    </xf>
    <xf numFmtId="167" fontId="2" fillId="2" borderId="6" xfId="2" applyNumberFormat="1" applyFont="1" applyFill="1" applyBorder="1" applyAlignment="1">
      <alignment horizontal="right"/>
    </xf>
    <xf numFmtId="0" fontId="11" fillId="0" borderId="0" xfId="0" applyFont="1"/>
    <xf numFmtId="44" fontId="2" fillId="2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8" fontId="2" fillId="0" borderId="0" xfId="0" applyNumberFormat="1" applyFont="1"/>
    <xf numFmtId="3" fontId="2" fillId="2" borderId="0" xfId="0" applyNumberFormat="1" applyFont="1" applyFill="1"/>
    <xf numFmtId="9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10" fontId="2" fillId="2" borderId="0" xfId="0" applyNumberFormat="1" applyFont="1" applyFill="1"/>
    <xf numFmtId="44" fontId="2" fillId="0" borderId="0" xfId="2" applyFont="1"/>
    <xf numFmtId="1" fontId="9" fillId="0" borderId="10" xfId="0" applyNumberFormat="1" applyFont="1" applyBorder="1"/>
    <xf numFmtId="165" fontId="3" fillId="2" borderId="0" xfId="2" applyNumberFormat="1" applyFont="1" applyFill="1" applyBorder="1"/>
    <xf numFmtId="165" fontId="3" fillId="0" borderId="0" xfId="2" applyNumberFormat="1" applyFont="1" applyFill="1" applyBorder="1"/>
    <xf numFmtId="168" fontId="2" fillId="0" borderId="0" xfId="3" applyNumberFormat="1" applyFont="1" applyFill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zoomScaleNormal="100" workbookViewId="0">
      <selection activeCell="B6" sqref="B6:F6"/>
    </sheetView>
  </sheetViews>
  <sheetFormatPr defaultRowHeight="15.4" x14ac:dyDescent="0.45"/>
  <cols>
    <col min="1" max="1" width="23" style="1" customWidth="1"/>
    <col min="2" max="8" width="15.73046875" style="1" customWidth="1"/>
  </cols>
  <sheetData>
    <row r="1" spans="1:8" x14ac:dyDescent="0.45">
      <c r="A1" s="5" t="s">
        <v>126</v>
      </c>
      <c r="B1" s="5"/>
      <c r="C1" s="5"/>
      <c r="D1" s="5"/>
    </row>
    <row r="2" spans="1:8" x14ac:dyDescent="0.45">
      <c r="A2" s="155" t="s">
        <v>127</v>
      </c>
      <c r="B2" s="5"/>
      <c r="C2" s="5"/>
      <c r="D2" s="5"/>
    </row>
    <row r="4" spans="1:8" ht="15.75" thickBot="1" x14ac:dyDescent="0.5">
      <c r="A4" s="5"/>
    </row>
    <row r="5" spans="1:8" ht="15.75" thickBot="1" x14ac:dyDescent="0.5">
      <c r="A5" s="123"/>
      <c r="B5" s="124" t="s">
        <v>0</v>
      </c>
      <c r="C5" s="124" t="s">
        <v>1</v>
      </c>
      <c r="D5" s="124" t="s">
        <v>2</v>
      </c>
      <c r="E5" s="124" t="s">
        <v>3</v>
      </c>
      <c r="F5" s="125" t="s">
        <v>4</v>
      </c>
    </row>
    <row r="6" spans="1:8" x14ac:dyDescent="0.45">
      <c r="A6" s="25" t="s">
        <v>5</v>
      </c>
      <c r="B6" s="15">
        <f>Expenses!B56</f>
        <v>578787.09700000007</v>
      </c>
      <c r="C6" s="15">
        <f>B6*1.05</f>
        <v>607726.45185000007</v>
      </c>
      <c r="D6" s="15">
        <f>C6*1.05</f>
        <v>638112.77444250009</v>
      </c>
      <c r="E6" s="15">
        <f>D6*1.05</f>
        <v>670018.41316462506</v>
      </c>
      <c r="F6" s="83">
        <f>E6*1.05</f>
        <v>703519.33382285631</v>
      </c>
      <c r="H6" s="15"/>
    </row>
    <row r="7" spans="1:8" x14ac:dyDescent="0.45">
      <c r="A7" s="25" t="s">
        <v>6</v>
      </c>
      <c r="B7" s="15">
        <f>(Revenues!B24)</f>
        <v>358684.4</v>
      </c>
      <c r="C7" s="15">
        <f>(Revenues!B24)*1.03</f>
        <v>369444.93200000003</v>
      </c>
      <c r="D7" s="15">
        <f>C7*1.06</f>
        <v>391611.62792000006</v>
      </c>
      <c r="E7" s="15">
        <f>D7*1.05</f>
        <v>411192.20931600005</v>
      </c>
      <c r="F7" s="83">
        <f>E7*1.03</f>
        <v>423527.97559548006</v>
      </c>
      <c r="G7" s="109"/>
      <c r="H7" s="15"/>
    </row>
    <row r="8" spans="1:8" x14ac:dyDescent="0.45">
      <c r="A8" s="25"/>
      <c r="B8" s="9">
        <f>B7-B6</f>
        <v>-220102.69700000004</v>
      </c>
      <c r="C8" s="9">
        <f t="shared" ref="C8:F8" si="0">C7-C6</f>
        <v>-238281.51985000004</v>
      </c>
      <c r="D8" s="9">
        <f t="shared" si="0"/>
        <v>-246501.14652250003</v>
      </c>
      <c r="E8" s="9">
        <f t="shared" si="0"/>
        <v>-258826.20384862501</v>
      </c>
      <c r="F8" s="84">
        <f t="shared" si="0"/>
        <v>-279991.35822737624</v>
      </c>
    </row>
    <row r="9" spans="1:8" x14ac:dyDescent="0.45">
      <c r="A9" s="25" t="s">
        <v>7</v>
      </c>
      <c r="B9" s="16">
        <f>B7/B6</f>
        <v>0.61971733969045273</v>
      </c>
      <c r="C9" s="16">
        <f t="shared" ref="C9:F9" si="1">C7/C6</f>
        <v>0.60791319988682502</v>
      </c>
      <c r="D9" s="16">
        <f t="shared" si="1"/>
        <v>0.61370284940955666</v>
      </c>
      <c r="E9" s="16">
        <f t="shared" si="1"/>
        <v>0.61370284940955677</v>
      </c>
      <c r="F9" s="85">
        <f t="shared" si="1"/>
        <v>0.60201327132556515</v>
      </c>
      <c r="H9" s="16"/>
    </row>
    <row r="10" spans="1:8" x14ac:dyDescent="0.45">
      <c r="A10" s="25"/>
      <c r="B10" s="16"/>
      <c r="C10" s="16"/>
      <c r="D10" s="16"/>
      <c r="E10" s="16"/>
      <c r="F10" s="85"/>
    </row>
    <row r="11" spans="1:8" x14ac:dyDescent="0.45">
      <c r="A11" s="25" t="s">
        <v>8</v>
      </c>
      <c r="B11" s="16">
        <f>(Revenues!B24)/Expenses!B50</f>
        <v>0.67831534096604473</v>
      </c>
      <c r="C11" s="16">
        <f>((Revenues!B24)*1.03)/((Expenses!B50)*1.05)</f>
        <v>0.66539504875716771</v>
      </c>
      <c r="D11" s="16">
        <f>((Revenues!B24)*1.06)/((Expenses!B50)*1.05)</f>
        <v>0.6847754870704833</v>
      </c>
      <c r="E11" s="16">
        <f>((Revenues!B24)*1.05)/((Expenses!B50)*1.05)</f>
        <v>0.67831534096604484</v>
      </c>
      <c r="F11" s="85">
        <f>((Revenues!B24)*1.05)/((Expenses!B50)*1.05)</f>
        <v>0.67831534096604484</v>
      </c>
    </row>
    <row r="12" spans="1:8" x14ac:dyDescent="0.45">
      <c r="A12" s="25"/>
      <c r="B12" s="16"/>
      <c r="C12" s="16"/>
      <c r="D12" s="16"/>
      <c r="E12" s="16"/>
      <c r="F12" s="85"/>
    </row>
    <row r="13" spans="1:8" ht="15.75" thickBot="1" x14ac:dyDescent="0.5">
      <c r="A13" s="28" t="s">
        <v>9</v>
      </c>
      <c r="B13" s="86">
        <v>50000</v>
      </c>
      <c r="C13" s="86">
        <f>B13*2</f>
        <v>100000</v>
      </c>
      <c r="D13" s="86">
        <f>B13*3</f>
        <v>150000</v>
      </c>
      <c r="E13" s="86">
        <f>B13*4</f>
        <v>200000</v>
      </c>
      <c r="F13" s="87">
        <f>B13*5</f>
        <v>250000</v>
      </c>
    </row>
    <row r="14" spans="1:8" ht="15.75" thickBot="1" x14ac:dyDescent="0.5">
      <c r="A14" s="28"/>
      <c r="B14" s="86"/>
      <c r="C14" s="86"/>
      <c r="D14" s="86"/>
      <c r="E14" s="86"/>
      <c r="F14" s="87"/>
    </row>
    <row r="15" spans="1:8" x14ac:dyDescent="0.45">
      <c r="B15" s="15"/>
      <c r="C15" s="15"/>
      <c r="D15" s="15"/>
      <c r="E15" s="15"/>
      <c r="F15" s="15"/>
    </row>
  </sheetData>
  <pageMargins left="0.7" right="0.7" top="0.75" bottom="0.75" header="0.3" footer="0.3"/>
  <pageSetup scale="85" orientation="landscape" horizontalDpi="4294967295" verticalDpi="4294967295" r:id="rId1"/>
  <headerFooter>
    <oddHeader>&amp;L&amp;"Times New Roman,Regular"5 Year Comparison&amp;R&amp;P</oddHeader>
    <oddFooter>&amp;LBallard*King &amp; Associates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7"/>
  <sheetViews>
    <sheetView topLeftCell="A28" zoomScaleNormal="100" workbookViewId="0">
      <selection activeCell="A36" sqref="A36"/>
    </sheetView>
  </sheetViews>
  <sheetFormatPr defaultRowHeight="15.4" x14ac:dyDescent="0.45"/>
  <cols>
    <col min="1" max="1" width="45.73046875" customWidth="1"/>
    <col min="2" max="4" width="15.73046875" customWidth="1"/>
    <col min="5" max="5" width="5.59765625" customWidth="1"/>
    <col min="6" max="7" width="15.73046875" customWidth="1"/>
    <col min="8" max="8" width="5.59765625" customWidth="1"/>
    <col min="9" max="11" width="15.73046875" customWidth="1"/>
    <col min="12" max="12" width="9" style="55"/>
  </cols>
  <sheetData>
    <row r="1" spans="1:11" x14ac:dyDescent="0.45">
      <c r="A1" s="5" t="str">
        <f>'5-Year Comparison'!A1</f>
        <v xml:space="preserve">Aurora Recreation Center </v>
      </c>
      <c r="B1" s="5"/>
      <c r="C1" s="5"/>
      <c r="D1" s="5"/>
      <c r="E1" s="5"/>
    </row>
    <row r="2" spans="1:11" x14ac:dyDescent="0.45">
      <c r="A2" s="155" t="s">
        <v>128</v>
      </c>
      <c r="B2" s="5"/>
      <c r="C2" s="5"/>
      <c r="D2" s="5"/>
      <c r="E2" s="5"/>
    </row>
    <row r="4" spans="1:11" x14ac:dyDescent="0.45">
      <c r="A4" s="5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45">
      <c r="A5" s="130" t="s">
        <v>11</v>
      </c>
      <c r="K5" s="1"/>
    </row>
    <row r="6" spans="1:11" x14ac:dyDescent="0.45">
      <c r="A6" s="1" t="s">
        <v>12</v>
      </c>
      <c r="B6" s="89">
        <f>Fulltimestaff!E28</f>
        <v>175149.33749999999</v>
      </c>
      <c r="C6" s="90"/>
      <c r="D6" s="60"/>
      <c r="E6" s="90"/>
      <c r="G6" s="90"/>
      <c r="H6" s="90"/>
      <c r="I6" s="90"/>
      <c r="J6" s="90"/>
      <c r="K6" s="2"/>
    </row>
    <row r="7" spans="1:11" x14ac:dyDescent="0.45">
      <c r="A7" s="1" t="s">
        <v>13</v>
      </c>
      <c r="B7" s="89">
        <f>(Parttimestaff!E30)</f>
        <v>188592.25</v>
      </c>
      <c r="C7" s="90"/>
      <c r="D7" s="60"/>
      <c r="E7" s="90"/>
      <c r="G7" s="90"/>
      <c r="H7" s="90"/>
      <c r="I7" s="90"/>
      <c r="J7" s="90"/>
      <c r="K7" s="60"/>
    </row>
    <row r="8" spans="1:11" x14ac:dyDescent="0.45">
      <c r="A8" s="1" t="s">
        <v>14</v>
      </c>
      <c r="B8" s="168">
        <f>SUM(B6:B7)</f>
        <v>363741.58750000002</v>
      </c>
      <c r="C8" s="170">
        <f>B8/B50</f>
        <v>0.68787909077894915</v>
      </c>
      <c r="D8" s="92"/>
      <c r="E8" s="92"/>
      <c r="F8" s="132"/>
      <c r="G8" s="92"/>
      <c r="H8" s="92"/>
      <c r="I8" s="132"/>
      <c r="J8" s="92"/>
      <c r="K8" s="3"/>
    </row>
    <row r="9" spans="1:11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45">
      <c r="A10" s="130" t="s">
        <v>15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45">
      <c r="A11" s="1" t="s">
        <v>16</v>
      </c>
      <c r="B11" s="60">
        <v>1000</v>
      </c>
      <c r="C11" s="90"/>
      <c r="D11" s="60"/>
      <c r="E11" s="90"/>
      <c r="F11" s="90"/>
      <c r="G11" s="90"/>
      <c r="H11" s="90"/>
      <c r="I11" s="90"/>
      <c r="J11" s="90"/>
      <c r="K11" s="2"/>
    </row>
    <row r="12" spans="1:11" x14ac:dyDescent="0.45">
      <c r="A12" s="1" t="s">
        <v>17</v>
      </c>
      <c r="B12" s="60">
        <v>1000</v>
      </c>
      <c r="C12" s="90"/>
      <c r="D12" s="60"/>
      <c r="E12" s="90"/>
      <c r="F12" s="90"/>
      <c r="G12" s="90"/>
      <c r="H12" s="90"/>
      <c r="I12" s="90"/>
      <c r="J12" s="90"/>
      <c r="K12" s="2"/>
    </row>
    <row r="13" spans="1:11" x14ac:dyDescent="0.45">
      <c r="A13" s="1" t="s">
        <v>18</v>
      </c>
      <c r="B13" s="60">
        <v>5000</v>
      </c>
      <c r="C13" s="90"/>
      <c r="D13" s="60"/>
      <c r="E13" s="90"/>
      <c r="F13" s="90"/>
      <c r="G13" s="90"/>
      <c r="H13" s="90"/>
      <c r="I13" s="90"/>
      <c r="J13" s="90"/>
      <c r="K13" s="2"/>
    </row>
    <row r="14" spans="1:11" x14ac:dyDescent="0.45">
      <c r="A14" s="1" t="s">
        <v>19</v>
      </c>
      <c r="B14" s="60">
        <v>8000</v>
      </c>
      <c r="C14" s="90"/>
      <c r="D14" s="60"/>
      <c r="E14" s="90"/>
      <c r="F14" s="90"/>
      <c r="G14" s="90"/>
      <c r="H14" s="90"/>
      <c r="I14" s="90"/>
      <c r="J14" s="90"/>
      <c r="K14" s="2"/>
    </row>
    <row r="15" spans="1:11" x14ac:dyDescent="0.45">
      <c r="A15" s="1" t="s">
        <v>20</v>
      </c>
      <c r="B15" s="60">
        <v>5000</v>
      </c>
      <c r="C15" s="90"/>
      <c r="D15" s="60"/>
      <c r="E15" s="90"/>
      <c r="F15" s="90"/>
      <c r="G15" s="90"/>
      <c r="H15" s="90"/>
      <c r="I15" s="90"/>
      <c r="J15" s="90"/>
      <c r="K15" s="2"/>
    </row>
    <row r="16" spans="1:11" x14ac:dyDescent="0.45">
      <c r="A16" s="1" t="s">
        <v>21</v>
      </c>
      <c r="B16" s="60">
        <v>1500</v>
      </c>
      <c r="C16" s="90"/>
      <c r="D16" s="60"/>
      <c r="E16" s="90"/>
      <c r="F16" s="90"/>
      <c r="G16" s="90"/>
      <c r="H16" s="90"/>
      <c r="I16" s="90"/>
      <c r="J16" s="90"/>
      <c r="K16" s="2"/>
    </row>
    <row r="17" spans="1:14" x14ac:dyDescent="0.45">
      <c r="A17" s="1" t="s">
        <v>22</v>
      </c>
      <c r="B17" s="60">
        <v>2500</v>
      </c>
      <c r="C17" s="90"/>
      <c r="D17" s="60"/>
      <c r="E17" s="90"/>
      <c r="F17" s="90"/>
      <c r="G17" s="90"/>
      <c r="H17" s="90"/>
      <c r="I17" s="90"/>
      <c r="J17" s="90"/>
      <c r="K17" s="2"/>
    </row>
    <row r="18" spans="1:14" x14ac:dyDescent="0.45">
      <c r="A18" s="1" t="s">
        <v>23</v>
      </c>
      <c r="B18" s="60">
        <v>1000</v>
      </c>
      <c r="C18" s="90"/>
      <c r="D18" s="60"/>
      <c r="E18" s="90"/>
      <c r="F18" s="90"/>
      <c r="G18" s="90"/>
      <c r="H18" s="90"/>
      <c r="I18" s="90"/>
      <c r="J18" s="90"/>
      <c r="K18" s="2"/>
    </row>
    <row r="19" spans="1:14" x14ac:dyDescent="0.45">
      <c r="A19" s="1" t="s">
        <v>24</v>
      </c>
      <c r="B19" s="89">
        <f>Revenues!B19*0.5</f>
        <v>7043.2000000000007</v>
      </c>
      <c r="C19" s="90"/>
      <c r="D19" s="90"/>
      <c r="E19" s="90"/>
      <c r="F19" s="90"/>
      <c r="G19" s="90"/>
      <c r="H19" s="90"/>
      <c r="I19" s="90"/>
      <c r="J19" s="90"/>
      <c r="K19" s="2"/>
    </row>
    <row r="20" spans="1:14" x14ac:dyDescent="0.45">
      <c r="A20" s="1" t="s">
        <v>25</v>
      </c>
      <c r="B20" s="60">
        <v>2000</v>
      </c>
      <c r="C20" s="90"/>
      <c r="D20" s="90"/>
      <c r="E20" s="90"/>
      <c r="F20" s="90"/>
      <c r="G20" s="90"/>
      <c r="H20" s="90"/>
      <c r="I20" s="90"/>
      <c r="J20" s="90"/>
      <c r="K20" s="2"/>
    </row>
    <row r="21" spans="1:14" x14ac:dyDescent="0.45">
      <c r="A21" s="1" t="s">
        <v>26</v>
      </c>
      <c r="B21" s="60">
        <v>500</v>
      </c>
      <c r="C21" s="90"/>
      <c r="D21" s="90"/>
      <c r="E21" s="90"/>
      <c r="F21" s="90"/>
      <c r="G21" s="90"/>
      <c r="H21" s="90"/>
      <c r="I21" s="90"/>
      <c r="J21" s="90"/>
      <c r="K21" s="60"/>
    </row>
    <row r="22" spans="1:14" x14ac:dyDescent="0.45">
      <c r="A22" s="1"/>
      <c r="B22" s="60"/>
      <c r="C22" s="90"/>
      <c r="D22" s="90"/>
      <c r="E22" s="90"/>
      <c r="F22" s="90"/>
      <c r="G22" s="90"/>
      <c r="H22" s="90"/>
      <c r="I22" s="90"/>
      <c r="J22" s="90"/>
      <c r="K22" s="2"/>
    </row>
    <row r="23" spans="1:14" x14ac:dyDescent="0.45">
      <c r="A23" s="1" t="s">
        <v>14</v>
      </c>
      <c r="B23" s="168">
        <f>SUM(B11:B22)</f>
        <v>34543.199999999997</v>
      </c>
      <c r="C23" s="170">
        <f>B23/B50</f>
        <v>6.5325345864103018E-2</v>
      </c>
      <c r="D23" s="92"/>
      <c r="E23" s="92"/>
      <c r="F23" s="132"/>
      <c r="G23" s="92"/>
      <c r="H23" s="92"/>
      <c r="I23" s="132"/>
      <c r="J23" s="92"/>
      <c r="K23" s="3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4" x14ac:dyDescent="0.45">
      <c r="A25" s="130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4" x14ac:dyDescent="0.45">
      <c r="A26" s="1" t="s">
        <v>185</v>
      </c>
      <c r="B26" s="60">
        <f>D27*2.5</f>
        <v>70000</v>
      </c>
      <c r="C26" s="90"/>
      <c r="D26" s="93" t="s">
        <v>28</v>
      </c>
      <c r="E26" s="90"/>
      <c r="F26" s="90"/>
      <c r="G26" s="140"/>
      <c r="H26" s="90"/>
      <c r="I26" s="90"/>
      <c r="J26" s="140"/>
      <c r="K26" s="2"/>
      <c r="M26" s="19"/>
      <c r="N26" s="7"/>
    </row>
    <row r="27" spans="1:14" x14ac:dyDescent="0.45">
      <c r="A27" s="1" t="s">
        <v>29</v>
      </c>
      <c r="B27" s="60">
        <v>7500</v>
      </c>
      <c r="C27" s="90"/>
      <c r="D27" s="90">
        <v>28000</v>
      </c>
      <c r="E27" s="152" t="s">
        <v>124</v>
      </c>
      <c r="F27" s="90"/>
      <c r="G27" s="90" t="s">
        <v>189</v>
      </c>
      <c r="H27" s="90"/>
      <c r="I27" s="90"/>
      <c r="J27" s="90"/>
      <c r="K27" s="2"/>
      <c r="M27" s="19"/>
      <c r="N27" s="7"/>
    </row>
    <row r="28" spans="1:14" x14ac:dyDescent="0.45">
      <c r="A28" s="1" t="s">
        <v>30</v>
      </c>
      <c r="B28" s="60"/>
      <c r="C28" s="90"/>
      <c r="D28" s="2"/>
      <c r="E28" s="153"/>
      <c r="F28" s="94">
        <v>5.5</v>
      </c>
      <c r="G28" s="94"/>
      <c r="H28" s="94"/>
      <c r="I28" s="90"/>
      <c r="J28" s="94"/>
      <c r="K28" s="2"/>
      <c r="M28" s="19"/>
      <c r="N28" s="61"/>
    </row>
    <row r="29" spans="1:14" x14ac:dyDescent="0.45">
      <c r="A29" s="1" t="s">
        <v>31</v>
      </c>
      <c r="B29" s="60">
        <v>10000</v>
      </c>
      <c r="C29" s="90"/>
      <c r="E29" s="90"/>
      <c r="F29" s="89">
        <f>F27*F28</f>
        <v>0</v>
      </c>
      <c r="G29" s="90"/>
      <c r="H29" s="90"/>
      <c r="I29" s="90"/>
      <c r="J29" s="90"/>
      <c r="K29" s="2"/>
    </row>
    <row r="30" spans="1:14" x14ac:dyDescent="0.45">
      <c r="A30" s="1" t="s">
        <v>32</v>
      </c>
      <c r="B30" s="60">
        <v>2000</v>
      </c>
      <c r="C30" s="90"/>
      <c r="E30" s="90"/>
      <c r="F30" s="90"/>
      <c r="G30" s="90" t="s">
        <v>124</v>
      </c>
      <c r="H30" s="90"/>
      <c r="I30" s="90"/>
      <c r="J30" s="90"/>
      <c r="K30" s="2"/>
    </row>
    <row r="31" spans="1:14" x14ac:dyDescent="0.45">
      <c r="A31" s="1" t="s">
        <v>125</v>
      </c>
      <c r="B31" s="60">
        <v>5000</v>
      </c>
      <c r="C31" s="90"/>
      <c r="E31" s="90"/>
      <c r="F31" s="94">
        <v>3</v>
      </c>
      <c r="G31" s="94"/>
      <c r="H31" s="90"/>
      <c r="I31" s="90"/>
      <c r="J31" s="94"/>
      <c r="K31" s="2"/>
      <c r="N31" s="53"/>
    </row>
    <row r="32" spans="1:14" x14ac:dyDescent="0.45">
      <c r="A32" s="1" t="s">
        <v>222</v>
      </c>
      <c r="B32" s="18"/>
      <c r="C32" s="18"/>
      <c r="E32" s="90"/>
      <c r="F32" s="89">
        <f>F30*F31</f>
        <v>0</v>
      </c>
      <c r="G32" s="90"/>
      <c r="H32" s="90"/>
      <c r="I32" s="90"/>
      <c r="J32" s="90"/>
      <c r="K32" s="2"/>
    </row>
    <row r="33" spans="1:11" x14ac:dyDescent="0.45">
      <c r="A33" s="1" t="s">
        <v>123</v>
      </c>
      <c r="B33" s="60"/>
      <c r="C33" s="90"/>
      <c r="E33" s="90"/>
      <c r="F33" s="89">
        <f>F29+F32</f>
        <v>0</v>
      </c>
      <c r="G33" s="90"/>
      <c r="H33" s="90"/>
      <c r="I33" s="90"/>
      <c r="J33" s="90"/>
      <c r="K33" s="2"/>
    </row>
    <row r="34" spans="1:11" x14ac:dyDescent="0.45">
      <c r="A34" s="1" t="s">
        <v>33</v>
      </c>
      <c r="B34" s="60">
        <v>5000</v>
      </c>
      <c r="C34" s="90"/>
      <c r="E34" s="90"/>
      <c r="F34" s="89">
        <f>B26+B27</f>
        <v>77500</v>
      </c>
      <c r="G34" s="90"/>
      <c r="H34" s="90"/>
      <c r="I34" s="90"/>
      <c r="J34" s="90"/>
      <c r="K34" s="2"/>
    </row>
    <row r="35" spans="1:11" x14ac:dyDescent="0.45">
      <c r="A35" s="1" t="s">
        <v>232</v>
      </c>
      <c r="B35" s="60">
        <v>2000</v>
      </c>
      <c r="C35" s="90"/>
      <c r="D35" s="60"/>
      <c r="E35" s="90"/>
      <c r="F35" s="90"/>
      <c r="G35" s="90"/>
      <c r="H35" s="90"/>
      <c r="I35" s="90"/>
      <c r="J35" s="90"/>
      <c r="K35" s="2"/>
    </row>
    <row r="36" spans="1:11" x14ac:dyDescent="0.45">
      <c r="A36" s="1" t="s">
        <v>34</v>
      </c>
      <c r="B36" s="60">
        <v>1000</v>
      </c>
      <c r="C36" s="90"/>
      <c r="D36" s="60"/>
      <c r="E36" s="90"/>
      <c r="F36" s="90"/>
      <c r="G36" s="90"/>
      <c r="H36" s="90"/>
      <c r="I36" s="90"/>
      <c r="J36" s="90"/>
      <c r="K36" s="2"/>
    </row>
    <row r="37" spans="1:11" x14ac:dyDescent="0.45">
      <c r="A37" s="1" t="s">
        <v>35</v>
      </c>
      <c r="B37" s="60">
        <v>3000</v>
      </c>
      <c r="C37" s="90"/>
      <c r="D37" s="90"/>
      <c r="E37" s="90"/>
      <c r="F37" s="90"/>
      <c r="G37" s="90"/>
      <c r="H37" s="90"/>
      <c r="I37" s="90"/>
      <c r="J37" s="90"/>
      <c r="K37" s="2"/>
    </row>
    <row r="38" spans="1:11" x14ac:dyDescent="0.45">
      <c r="A38" s="1" t="s">
        <v>36</v>
      </c>
      <c r="B38" s="60">
        <v>4000</v>
      </c>
      <c r="C38" s="90"/>
      <c r="D38" s="90"/>
      <c r="E38" s="90"/>
      <c r="F38" s="90"/>
      <c r="G38" s="90"/>
      <c r="H38" s="90"/>
      <c r="I38" s="90"/>
      <c r="J38" s="90"/>
      <c r="K38" s="2"/>
    </row>
    <row r="39" spans="1:11" x14ac:dyDescent="0.45">
      <c r="A39" s="1" t="s">
        <v>37</v>
      </c>
      <c r="B39" s="60">
        <v>2000</v>
      </c>
      <c r="C39" s="90"/>
      <c r="D39" s="60"/>
      <c r="E39" s="90"/>
      <c r="F39" s="90"/>
      <c r="G39" s="90"/>
      <c r="H39" s="90"/>
      <c r="I39" s="90"/>
      <c r="J39" s="90"/>
      <c r="K39" s="2"/>
    </row>
    <row r="40" spans="1:11" x14ac:dyDescent="0.45">
      <c r="A40" s="1" t="s">
        <v>38</v>
      </c>
      <c r="B40" s="60">
        <v>1000</v>
      </c>
      <c r="C40" s="90"/>
      <c r="D40" s="60"/>
      <c r="E40" s="90"/>
      <c r="F40" s="90"/>
      <c r="G40" s="90"/>
      <c r="H40" s="90"/>
      <c r="I40" s="90"/>
      <c r="J40" s="90"/>
      <c r="K40" s="60"/>
    </row>
    <row r="41" spans="1:11" x14ac:dyDescent="0.45">
      <c r="A41" s="1" t="s">
        <v>220</v>
      </c>
      <c r="B41" s="89">
        <f>(Revenues!B24)*0.75*0.035</f>
        <v>9415.4655000000021</v>
      </c>
      <c r="C41" s="90"/>
      <c r="D41" s="60"/>
      <c r="E41" s="90"/>
      <c r="F41" s="90"/>
      <c r="G41" s="90"/>
      <c r="H41" s="90"/>
      <c r="I41" s="90"/>
      <c r="J41" s="90"/>
      <c r="K41" s="2"/>
    </row>
    <row r="42" spans="1:11" x14ac:dyDescent="0.45">
      <c r="A42" s="1" t="s">
        <v>39</v>
      </c>
      <c r="B42" s="89">
        <f>(Revenues!B24)*0.01</f>
        <v>3586.8440000000005</v>
      </c>
      <c r="C42" s="90"/>
      <c r="D42" s="92"/>
      <c r="E42" s="92"/>
      <c r="F42" s="132"/>
      <c r="G42" s="92"/>
      <c r="H42" s="92"/>
      <c r="I42" s="132"/>
      <c r="J42" s="92"/>
      <c r="K42" s="3"/>
    </row>
    <row r="43" spans="1:11" x14ac:dyDescent="0.45">
      <c r="A43" s="1" t="s">
        <v>40</v>
      </c>
      <c r="B43" s="60">
        <v>0</v>
      </c>
      <c r="C43" s="90"/>
      <c r="D43" s="92"/>
      <c r="E43" s="92"/>
      <c r="F43" s="132"/>
      <c r="G43" s="92"/>
      <c r="H43" s="92"/>
      <c r="I43" s="132"/>
      <c r="J43" s="92"/>
      <c r="K43" s="3"/>
    </row>
    <row r="44" spans="1:11" x14ac:dyDescent="0.45">
      <c r="A44" s="1" t="s">
        <v>41</v>
      </c>
      <c r="B44" s="60">
        <v>5000</v>
      </c>
      <c r="C44" s="90"/>
      <c r="D44" s="92"/>
      <c r="E44" s="92"/>
      <c r="F44" s="132"/>
      <c r="G44" s="92"/>
      <c r="H44" s="92"/>
      <c r="I44" s="132"/>
      <c r="J44" s="92"/>
      <c r="K44" s="3"/>
    </row>
    <row r="45" spans="1:11" x14ac:dyDescent="0.45">
      <c r="A45" s="1"/>
      <c r="B45" s="60"/>
      <c r="C45" s="90"/>
      <c r="D45" s="92"/>
      <c r="E45" s="92"/>
      <c r="F45" s="132"/>
      <c r="G45" s="92"/>
      <c r="H45" s="92"/>
      <c r="I45" s="132"/>
      <c r="J45" s="92"/>
      <c r="K45" s="133"/>
    </row>
    <row r="46" spans="1:11" x14ac:dyDescent="0.45">
      <c r="A46" s="1" t="s">
        <v>14</v>
      </c>
      <c r="B46" s="168">
        <f>SUM(B26:B44)</f>
        <v>130502.3095</v>
      </c>
      <c r="C46" s="170">
        <f>B46/B50</f>
        <v>0.24679556335694777</v>
      </c>
      <c r="D46" s="92"/>
      <c r="E46" s="92"/>
      <c r="F46" s="132"/>
      <c r="G46" s="92"/>
      <c r="H46" s="92"/>
      <c r="I46" s="132"/>
      <c r="J46" s="92"/>
      <c r="K46" s="133"/>
    </row>
    <row r="47" spans="1:11" x14ac:dyDescent="0.45">
      <c r="A47" s="1"/>
      <c r="B47" s="132"/>
      <c r="C47" s="132"/>
      <c r="D47" s="1"/>
      <c r="E47" s="1"/>
      <c r="F47" s="1"/>
      <c r="G47" s="1"/>
      <c r="H47" s="1"/>
      <c r="I47" s="1"/>
      <c r="J47" s="1"/>
      <c r="K47" s="1"/>
    </row>
    <row r="48" spans="1:11" x14ac:dyDescent="0.45">
      <c r="A48" s="1" t="s">
        <v>42</v>
      </c>
      <c r="B48" s="91"/>
      <c r="C48" s="132"/>
      <c r="D48" s="92"/>
      <c r="E48" s="92"/>
      <c r="F48" s="132"/>
      <c r="G48" s="92"/>
      <c r="H48" s="92"/>
      <c r="I48" s="132"/>
      <c r="J48" s="92"/>
      <c r="K48" s="3"/>
    </row>
    <row r="49" spans="1:11" x14ac:dyDescent="0.45">
      <c r="A49" s="1"/>
      <c r="B49" s="132"/>
      <c r="C49" s="132"/>
      <c r="D49" s="92"/>
      <c r="E49" s="92"/>
      <c r="F49" s="132"/>
      <c r="G49" s="92"/>
      <c r="H49" s="92"/>
      <c r="I49" s="132"/>
      <c r="J49" s="92"/>
      <c r="K49" s="3"/>
    </row>
    <row r="50" spans="1:11" x14ac:dyDescent="0.45">
      <c r="A50" s="1" t="s">
        <v>43</v>
      </c>
      <c r="B50" s="168">
        <f>B8+B23+B46+B48</f>
        <v>528787.09700000007</v>
      </c>
      <c r="C50" s="169"/>
      <c r="D50" s="92"/>
      <c r="E50" s="92"/>
      <c r="F50" s="132"/>
      <c r="G50" s="92"/>
      <c r="H50" s="92"/>
      <c r="I50" s="132"/>
      <c r="J50" s="92"/>
      <c r="K50" s="3"/>
    </row>
    <row r="51" spans="1:11" x14ac:dyDescent="0.45">
      <c r="A51" s="130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45">
      <c r="A52" s="1" t="s">
        <v>44</v>
      </c>
      <c r="B52" s="91">
        <v>50000</v>
      </c>
      <c r="C52" s="132"/>
      <c r="D52" s="4"/>
      <c r="E52" s="4"/>
      <c r="F52" s="4"/>
      <c r="G52" s="4"/>
      <c r="H52" s="4"/>
      <c r="I52" s="4"/>
      <c r="J52" s="4"/>
      <c r="K52" s="4"/>
    </row>
    <row r="53" spans="1:11" x14ac:dyDescent="0.45">
      <c r="A53" s="1"/>
      <c r="B53" s="91"/>
      <c r="C53" s="132"/>
      <c r="D53" s="1"/>
      <c r="E53" s="1"/>
      <c r="F53" s="1"/>
      <c r="G53" s="1"/>
      <c r="H53" s="1"/>
      <c r="I53" s="1"/>
      <c r="J53" s="1"/>
      <c r="K53" s="1"/>
    </row>
    <row r="54" spans="1:11" x14ac:dyDescent="0.45">
      <c r="A54" s="1"/>
      <c r="B54" s="91"/>
      <c r="C54" s="132"/>
      <c r="D54" s="1"/>
      <c r="E54" s="1"/>
      <c r="F54" s="1"/>
      <c r="G54" s="1"/>
      <c r="H54" s="1"/>
      <c r="I54" s="1"/>
      <c r="J54" s="1"/>
      <c r="K54" s="1"/>
    </row>
    <row r="55" spans="1:1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45">
      <c r="A56" s="5" t="s">
        <v>45</v>
      </c>
      <c r="B56" s="131">
        <f>B50+B52+B54</f>
        <v>578787.09700000007</v>
      </c>
      <c r="C56" s="4"/>
      <c r="D56" s="1"/>
      <c r="E56" s="1"/>
      <c r="F56" s="1"/>
      <c r="G56" s="1"/>
      <c r="H56" s="1"/>
      <c r="I56" s="1"/>
      <c r="J56" s="1"/>
      <c r="K56" s="1"/>
    </row>
    <row r="57" spans="1:1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45">
      <c r="A154" s="1"/>
      <c r="B154" s="1"/>
      <c r="C154" s="1"/>
    </row>
    <row r="155" spans="1:11" x14ac:dyDescent="0.45">
      <c r="A155" s="1"/>
      <c r="B155" s="1"/>
      <c r="C155" s="1"/>
    </row>
    <row r="156" spans="1:11" x14ac:dyDescent="0.45">
      <c r="A156" s="1"/>
      <c r="B156" s="1"/>
      <c r="C156" s="1"/>
    </row>
    <row r="157" spans="1:11" x14ac:dyDescent="0.45">
      <c r="A157" s="1"/>
      <c r="B157" s="1"/>
      <c r="C157" s="1"/>
    </row>
  </sheetData>
  <phoneticPr fontId="0" type="noConversion"/>
  <printOptions gridLines="1"/>
  <pageMargins left="0.75" right="0.75" top="1" bottom="1" header="0.5" footer="0.5"/>
  <pageSetup scale="66" orientation="landscape" horizontalDpi="4294967292" verticalDpi="1200" r:id="rId1"/>
  <headerFooter alignWithMargins="0">
    <oddHeader>&amp;LExpense Comparison 3 Options&amp;R&amp;P</oddHeader>
    <oddFooter>&amp;LBallard*King &amp; Associates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4"/>
  <sheetViews>
    <sheetView zoomScale="90" zoomScaleNormal="90" workbookViewId="0">
      <selection activeCell="B20" sqref="B20"/>
    </sheetView>
  </sheetViews>
  <sheetFormatPr defaultRowHeight="15.4" x14ac:dyDescent="0.45"/>
  <cols>
    <col min="1" max="1" width="28.59765625" customWidth="1"/>
    <col min="2" max="2" width="15.73046875" style="54" customWidth="1"/>
    <col min="3" max="3" width="8.73046875" style="53" customWidth="1"/>
    <col min="4" max="4" width="5.59765625" style="54" customWidth="1"/>
    <col min="5" max="5" width="15.73046875" style="55" customWidth="1"/>
  </cols>
  <sheetData>
    <row r="1" spans="1:4" x14ac:dyDescent="0.45">
      <c r="A1" s="5" t="str">
        <f>'5-Year Comparison'!A1</f>
        <v xml:space="preserve">Aurora Recreation Center </v>
      </c>
      <c r="B1" s="5"/>
      <c r="C1" s="5"/>
      <c r="D1" s="5"/>
    </row>
    <row r="2" spans="1:4" x14ac:dyDescent="0.45">
      <c r="A2" s="155" t="s">
        <v>129</v>
      </c>
      <c r="B2" s="5"/>
      <c r="C2" s="5"/>
      <c r="D2" s="5"/>
    </row>
    <row r="3" spans="1:4" ht="15.75" thickBot="1" x14ac:dyDescent="0.5"/>
    <row r="4" spans="1:4" ht="15.75" thickBot="1" x14ac:dyDescent="0.5">
      <c r="A4" s="120" t="s">
        <v>10</v>
      </c>
      <c r="B4" s="121"/>
      <c r="C4" s="122"/>
      <c r="D4" s="141"/>
    </row>
    <row r="5" spans="1:4" x14ac:dyDescent="0.45">
      <c r="A5" s="88" t="s">
        <v>46</v>
      </c>
      <c r="B5" s="109"/>
      <c r="C5" s="55"/>
      <c r="D5" s="142"/>
    </row>
    <row r="6" spans="1:4" x14ac:dyDescent="0.45">
      <c r="A6" s="25" t="s">
        <v>47</v>
      </c>
      <c r="B6" s="110">
        <f>Admissionrevenue1!C40</f>
        <v>35972</v>
      </c>
      <c r="C6" s="111"/>
      <c r="D6" s="143"/>
    </row>
    <row r="7" spans="1:4" x14ac:dyDescent="0.45">
      <c r="A7" s="25" t="s">
        <v>233</v>
      </c>
      <c r="B7" s="110">
        <f>Admissionrevenue1!C41</f>
        <v>13248</v>
      </c>
      <c r="C7" s="111"/>
      <c r="D7" s="143"/>
    </row>
    <row r="8" spans="1:4" x14ac:dyDescent="0.45">
      <c r="A8" s="25" t="s">
        <v>186</v>
      </c>
      <c r="B8" s="150">
        <f>Admissionrevenue1!C42</f>
        <v>189660</v>
      </c>
      <c r="C8" s="112"/>
      <c r="D8" s="144"/>
    </row>
    <row r="9" spans="1:4" x14ac:dyDescent="0.45">
      <c r="A9" s="25"/>
      <c r="B9" s="109"/>
      <c r="C9" s="55"/>
      <c r="D9" s="142"/>
    </row>
    <row r="10" spans="1:4" x14ac:dyDescent="0.45">
      <c r="A10" s="25" t="s">
        <v>14</v>
      </c>
      <c r="B10" s="113">
        <f>SUM(B6:B9)</f>
        <v>238880</v>
      </c>
      <c r="C10" s="114">
        <f>B10/B24</f>
        <v>0.66598937673341796</v>
      </c>
      <c r="D10" s="145"/>
    </row>
    <row r="11" spans="1:4" x14ac:dyDescent="0.45">
      <c r="A11" s="25"/>
      <c r="B11" s="109"/>
      <c r="C11" s="55"/>
      <c r="D11" s="142"/>
    </row>
    <row r="12" spans="1:4" x14ac:dyDescent="0.45">
      <c r="A12" s="88" t="s">
        <v>48</v>
      </c>
      <c r="B12" s="109"/>
      <c r="C12" s="55"/>
      <c r="D12" s="142"/>
    </row>
    <row r="13" spans="1:4" x14ac:dyDescent="0.45">
      <c r="A13" s="25" t="s">
        <v>221</v>
      </c>
      <c r="B13" s="148">
        <f>Programrevenue1!G62</f>
        <v>49098</v>
      </c>
      <c r="C13" s="112"/>
      <c r="D13" s="144"/>
    </row>
    <row r="14" spans="1:4" x14ac:dyDescent="0.45">
      <c r="A14" s="25"/>
      <c r="B14" s="149"/>
      <c r="C14" s="55"/>
      <c r="D14" s="142"/>
    </row>
    <row r="15" spans="1:4" x14ac:dyDescent="0.45">
      <c r="A15" s="25" t="s">
        <v>14</v>
      </c>
      <c r="B15" s="113">
        <f>SUM(B13:B13)</f>
        <v>49098</v>
      </c>
      <c r="C15" s="114">
        <f>B15/B24</f>
        <v>0.13688356672328095</v>
      </c>
      <c r="D15" s="145"/>
    </row>
    <row r="16" spans="1:4" x14ac:dyDescent="0.45">
      <c r="A16" s="25"/>
      <c r="B16" s="115"/>
      <c r="C16" s="92"/>
      <c r="D16" s="145"/>
    </row>
    <row r="17" spans="1:6" x14ac:dyDescent="0.45">
      <c r="A17" s="88" t="s">
        <v>41</v>
      </c>
      <c r="B17" s="109"/>
      <c r="C17" s="55"/>
      <c r="D17" s="142"/>
    </row>
    <row r="18" spans="1:6" x14ac:dyDescent="0.45">
      <c r="A18" s="25" t="s">
        <v>49</v>
      </c>
      <c r="B18" s="110">
        <f>Programrevenue1!G51</f>
        <v>12000</v>
      </c>
      <c r="C18" s="111"/>
      <c r="D18" s="143"/>
    </row>
    <row r="19" spans="1:6" x14ac:dyDescent="0.45">
      <c r="A19" s="25" t="s">
        <v>50</v>
      </c>
      <c r="B19" s="110">
        <f>Admissionrevenue1!R23*0.2</f>
        <v>14086.400000000001</v>
      </c>
      <c r="C19" s="111"/>
      <c r="D19" s="143"/>
      <c r="F19" s="13"/>
    </row>
    <row r="20" spans="1:6" x14ac:dyDescent="0.45">
      <c r="A20" s="25" t="s">
        <v>51</v>
      </c>
      <c r="B20" s="150">
        <f>Rentalrevenue1!G16</f>
        <v>44620</v>
      </c>
      <c r="C20" s="112"/>
      <c r="D20" s="144"/>
      <c r="F20" s="13"/>
    </row>
    <row r="21" spans="1:6" x14ac:dyDescent="0.45">
      <c r="A21" s="25"/>
      <c r="B21" s="116"/>
      <c r="C21" s="111"/>
      <c r="D21" s="143"/>
    </row>
    <row r="22" spans="1:6" x14ac:dyDescent="0.45">
      <c r="A22" s="25" t="s">
        <v>14</v>
      </c>
      <c r="B22" s="113">
        <f>SUM(B18:B21)</f>
        <v>70706.399999999994</v>
      </c>
      <c r="C22" s="114">
        <f>B22/B24</f>
        <v>0.19712705654330098</v>
      </c>
      <c r="D22" s="145"/>
    </row>
    <row r="23" spans="1:6" x14ac:dyDescent="0.45">
      <c r="A23" s="25"/>
      <c r="B23" s="109"/>
      <c r="C23" s="55"/>
      <c r="D23" s="142"/>
    </row>
    <row r="24" spans="1:6" ht="15.75" thickBot="1" x14ac:dyDescent="0.5">
      <c r="A24" s="117" t="s">
        <v>45</v>
      </c>
      <c r="B24" s="118">
        <f>B10+B15+B22</f>
        <v>358684.4</v>
      </c>
      <c r="C24" s="119">
        <f>C10+C15+C22</f>
        <v>0.99999999999999989</v>
      </c>
      <c r="D24" s="146"/>
    </row>
  </sheetData>
  <phoneticPr fontId="6" type="noConversion"/>
  <printOptions gridLines="1"/>
  <pageMargins left="0.75" right="0.75" top="1" bottom="1" header="0.5" footer="0.5"/>
  <pageSetup orientation="landscape" horizontalDpi="1200" verticalDpi="1200" r:id="rId1"/>
  <headerFooter alignWithMargins="0">
    <oddHeader>&amp;LRevenue Comparison 3 Options&amp;R&amp;P</oddHeader>
    <oddFooter>&amp;LBallard*King &amp; Associates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0"/>
  <sheetViews>
    <sheetView zoomScaleNormal="100" workbookViewId="0">
      <selection activeCell="G23" sqref="G23"/>
    </sheetView>
  </sheetViews>
  <sheetFormatPr defaultRowHeight="15.4" x14ac:dyDescent="0.45"/>
  <cols>
    <col min="1" max="1" width="28.73046875" style="1" customWidth="1"/>
    <col min="2" max="2" width="10.73046875" style="6" customWidth="1"/>
    <col min="3" max="3" width="6.3984375" style="10" bestFit="1" customWidth="1"/>
    <col min="4" max="4" width="10.73046875" style="10" customWidth="1"/>
    <col min="5" max="5" width="12.86328125" style="18" customWidth="1"/>
  </cols>
  <sheetData>
    <row r="1" spans="1:5" x14ac:dyDescent="0.45">
      <c r="A1" s="5" t="str">
        <f>'5-Year Comparison'!A1</f>
        <v xml:space="preserve">Aurora Recreation Center </v>
      </c>
    </row>
    <row r="2" spans="1:5" x14ac:dyDescent="0.45">
      <c r="A2" s="155" t="s">
        <v>131</v>
      </c>
    </row>
    <row r="4" spans="1:5" x14ac:dyDescent="0.45">
      <c r="A4" s="5"/>
    </row>
    <row r="5" spans="1:5" ht="15.75" thickBot="1" x14ac:dyDescent="0.5">
      <c r="A5" s="5"/>
    </row>
    <row r="6" spans="1:5" thickBot="1" x14ac:dyDescent="0.45">
      <c r="A6" s="120" t="s">
        <v>60</v>
      </c>
      <c r="B6" s="128" t="s">
        <v>61</v>
      </c>
      <c r="C6" s="121" t="s">
        <v>62</v>
      </c>
      <c r="D6" s="121" t="s">
        <v>63</v>
      </c>
      <c r="E6" s="129" t="s">
        <v>14</v>
      </c>
    </row>
    <row r="7" spans="1:5" x14ac:dyDescent="0.45">
      <c r="A7" s="25" t="s">
        <v>176</v>
      </c>
      <c r="B7" s="6">
        <v>16</v>
      </c>
      <c r="C7" s="101">
        <f>PTstaffdetail1!E32</f>
        <v>45</v>
      </c>
      <c r="D7" s="10">
        <v>14</v>
      </c>
      <c r="E7" s="154">
        <f t="shared" ref="E7:E18" si="0">B7*C7*D7</f>
        <v>10080</v>
      </c>
    </row>
    <row r="8" spans="1:5" x14ac:dyDescent="0.45">
      <c r="A8" s="25" t="s">
        <v>177</v>
      </c>
      <c r="B8" s="6">
        <v>16</v>
      </c>
      <c r="C8" s="101">
        <f>PTstaffdetail1!E65</f>
        <v>39</v>
      </c>
      <c r="D8" s="10">
        <v>36</v>
      </c>
      <c r="E8" s="154">
        <f t="shared" si="0"/>
        <v>22464</v>
      </c>
    </row>
    <row r="9" spans="1:5" x14ac:dyDescent="0.45">
      <c r="A9" s="25" t="s">
        <v>135</v>
      </c>
      <c r="B9" s="6">
        <v>13</v>
      </c>
      <c r="C9" s="101">
        <f>PTstaffdetail1!K32</f>
        <v>91.25</v>
      </c>
      <c r="D9" s="10">
        <v>14</v>
      </c>
      <c r="E9" s="154">
        <f t="shared" si="0"/>
        <v>16607.5</v>
      </c>
    </row>
    <row r="10" spans="1:5" x14ac:dyDescent="0.45">
      <c r="A10" s="25" t="s">
        <v>136</v>
      </c>
      <c r="B10" s="6">
        <v>13</v>
      </c>
      <c r="C10" s="101">
        <f>PTstaffdetail1!K65</f>
        <v>85.25</v>
      </c>
      <c r="D10" s="10">
        <v>36</v>
      </c>
      <c r="E10" s="154">
        <f t="shared" si="0"/>
        <v>39897</v>
      </c>
    </row>
    <row r="11" spans="1:5" x14ac:dyDescent="0.45">
      <c r="A11" s="25" t="s">
        <v>137</v>
      </c>
      <c r="B11" s="6">
        <v>16</v>
      </c>
      <c r="C11" s="101">
        <f>PTstaffdetail1!Q32</f>
        <v>0</v>
      </c>
      <c r="D11" s="10">
        <v>14</v>
      </c>
      <c r="E11" s="154">
        <f t="shared" ref="E11:E15" si="1">B11*C11*D11</f>
        <v>0</v>
      </c>
    </row>
    <row r="12" spans="1:5" x14ac:dyDescent="0.45">
      <c r="A12" s="25" t="s">
        <v>138</v>
      </c>
      <c r="B12" s="6">
        <v>16</v>
      </c>
      <c r="C12" s="101">
        <f>PTstaffdetail1!Q65</f>
        <v>0</v>
      </c>
      <c r="D12" s="10">
        <v>36</v>
      </c>
      <c r="E12" s="154">
        <f t="shared" si="0"/>
        <v>0</v>
      </c>
    </row>
    <row r="13" spans="1:5" x14ac:dyDescent="0.45">
      <c r="A13" s="25" t="s">
        <v>139</v>
      </c>
      <c r="B13" s="6">
        <v>13</v>
      </c>
      <c r="C13" s="101">
        <f>PTstaffdetail1!W32</f>
        <v>0</v>
      </c>
      <c r="D13" s="10">
        <v>14</v>
      </c>
      <c r="E13" s="154">
        <f t="shared" si="1"/>
        <v>0</v>
      </c>
    </row>
    <row r="14" spans="1:5" x14ac:dyDescent="0.45">
      <c r="A14" s="25" t="s">
        <v>140</v>
      </c>
      <c r="B14" s="6">
        <v>13</v>
      </c>
      <c r="C14" s="101">
        <f>PTstaffdetail1!W65</f>
        <v>0</v>
      </c>
      <c r="D14" s="10">
        <v>36</v>
      </c>
      <c r="E14" s="154">
        <f t="shared" si="0"/>
        <v>0</v>
      </c>
    </row>
    <row r="15" spans="1:5" x14ac:dyDescent="0.45">
      <c r="A15" s="25" t="s">
        <v>141</v>
      </c>
      <c r="B15" s="6">
        <v>13</v>
      </c>
      <c r="C15" s="101">
        <f>PTstaffdetail1!AC32</f>
        <v>57</v>
      </c>
      <c r="D15" s="10">
        <v>14</v>
      </c>
      <c r="E15" s="154">
        <f t="shared" si="1"/>
        <v>10374</v>
      </c>
    </row>
    <row r="16" spans="1:5" x14ac:dyDescent="0.45">
      <c r="A16" s="25" t="s">
        <v>142</v>
      </c>
      <c r="B16" s="6">
        <v>13</v>
      </c>
      <c r="C16" s="101">
        <f>PTstaffdetail1!AC65</f>
        <v>53</v>
      </c>
      <c r="D16" s="10">
        <v>36</v>
      </c>
      <c r="E16" s="154">
        <f t="shared" si="0"/>
        <v>24804</v>
      </c>
    </row>
    <row r="17" spans="1:5" x14ac:dyDescent="0.45">
      <c r="A17" s="25" t="s">
        <v>183</v>
      </c>
      <c r="B17" s="6">
        <v>14</v>
      </c>
      <c r="C17" s="101">
        <f>PTstaffdetail1!AI32</f>
        <v>41.75</v>
      </c>
      <c r="D17" s="10">
        <v>14</v>
      </c>
      <c r="E17" s="154">
        <f t="shared" si="0"/>
        <v>8183</v>
      </c>
    </row>
    <row r="18" spans="1:5" x14ac:dyDescent="0.45">
      <c r="A18" s="25" t="s">
        <v>184</v>
      </c>
      <c r="B18" s="6">
        <v>14</v>
      </c>
      <c r="C18" s="101">
        <f>PTstaffdetail1!AI65</f>
        <v>35.75</v>
      </c>
      <c r="D18" s="10">
        <v>36</v>
      </c>
      <c r="E18" s="154">
        <f t="shared" si="0"/>
        <v>18018</v>
      </c>
    </row>
    <row r="19" spans="1:5" x14ac:dyDescent="0.45">
      <c r="A19" s="25"/>
      <c r="E19" s="102"/>
    </row>
    <row r="20" spans="1:5" x14ac:dyDescent="0.45">
      <c r="A20" s="25" t="s">
        <v>14</v>
      </c>
      <c r="C20" s="147">
        <f>SUM(C7:C19)</f>
        <v>448</v>
      </c>
      <c r="E20" s="103">
        <f>SUM(E7:E18)</f>
        <v>150427.5</v>
      </c>
    </row>
    <row r="21" spans="1:5" x14ac:dyDescent="0.45">
      <c r="A21" s="25"/>
      <c r="E21" s="104"/>
    </row>
    <row r="22" spans="1:5" x14ac:dyDescent="0.45">
      <c r="A22" s="25" t="s">
        <v>234</v>
      </c>
      <c r="E22" s="105">
        <f>Programrevenue1!O62</f>
        <v>21020</v>
      </c>
    </row>
    <row r="23" spans="1:5" x14ac:dyDescent="0.45">
      <c r="A23" s="25"/>
      <c r="E23" s="105"/>
    </row>
    <row r="24" spans="1:5" x14ac:dyDescent="0.45">
      <c r="A24" s="25"/>
      <c r="E24" s="104"/>
    </row>
    <row r="25" spans="1:5" x14ac:dyDescent="0.45">
      <c r="A25" s="25"/>
      <c r="E25" s="106"/>
    </row>
    <row r="26" spans="1:5" x14ac:dyDescent="0.45">
      <c r="A26" s="25" t="s">
        <v>14</v>
      </c>
      <c r="E26" s="105">
        <f>SUM(E20:E25)</f>
        <v>171447.5</v>
      </c>
    </row>
    <row r="27" spans="1:5" x14ac:dyDescent="0.45">
      <c r="A27" s="25"/>
      <c r="E27" s="104"/>
    </row>
    <row r="28" spans="1:5" x14ac:dyDescent="0.45">
      <c r="A28" s="25" t="s">
        <v>238</v>
      </c>
      <c r="B28" s="55">
        <v>0.1</v>
      </c>
      <c r="E28" s="105">
        <f>SUM(E20:E23)*B28</f>
        <v>17144.75</v>
      </c>
    </row>
    <row r="29" spans="1:5" x14ac:dyDescent="0.45">
      <c r="A29" s="25"/>
      <c r="E29" s="104"/>
    </row>
    <row r="30" spans="1:5" ht="15.75" thickBot="1" x14ac:dyDescent="0.5">
      <c r="A30" s="28" t="s">
        <v>14</v>
      </c>
      <c r="B30" s="107"/>
      <c r="C30" s="30"/>
      <c r="D30" s="30"/>
      <c r="E30" s="108">
        <f>E26+E28</f>
        <v>188592.25</v>
      </c>
    </row>
  </sheetData>
  <phoneticPr fontId="0" type="noConversion"/>
  <printOptions gridLines="1"/>
  <pageMargins left="0.75" right="0.75" top="1" bottom="1" header="0.5" footer="0.5"/>
  <pageSetup scale="59" orientation="landscape" horizontalDpi="1200" verticalDpi="1200" r:id="rId1"/>
  <headerFooter alignWithMargins="0">
    <oddHeader>&amp;LPart-Time Staff Comparison 3 Options&amp;R&amp;P</oddHeader>
    <oddFooter>&amp;LBallard*King &amp; Associates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zoomScaleNormal="100" workbookViewId="0">
      <selection activeCell="E8" sqref="E8:E10"/>
    </sheetView>
  </sheetViews>
  <sheetFormatPr defaultRowHeight="15.4" x14ac:dyDescent="0.45"/>
  <cols>
    <col min="1" max="1" width="28.265625" style="1" customWidth="1"/>
    <col min="2" max="2" width="11" style="1" customWidth="1"/>
    <col min="3" max="4" width="12.59765625" style="1" customWidth="1"/>
    <col min="5" max="5" width="12.59765625" style="15" customWidth="1"/>
  </cols>
  <sheetData>
    <row r="1" spans="1:6" ht="15" x14ac:dyDescent="0.4">
      <c r="A1" s="5" t="str">
        <f>'5-Year Comparison'!A1</f>
        <v xml:space="preserve">Aurora Recreation Center </v>
      </c>
      <c r="B1" s="5"/>
      <c r="C1" s="5"/>
      <c r="D1" s="5"/>
      <c r="E1" s="5"/>
      <c r="F1" s="54"/>
    </row>
    <row r="2" spans="1:6" ht="15" x14ac:dyDescent="0.4">
      <c r="A2" s="155" t="s">
        <v>130</v>
      </c>
      <c r="B2" s="5"/>
      <c r="C2" s="5"/>
      <c r="D2" s="5"/>
      <c r="E2" s="5"/>
      <c r="F2" s="54"/>
    </row>
    <row r="4" spans="1:6" x14ac:dyDescent="0.45">
      <c r="A4" s="5"/>
      <c r="B4" s="5"/>
    </row>
    <row r="5" spans="1:6" ht="15.75" thickBot="1" x14ac:dyDescent="0.5"/>
    <row r="6" spans="1:6" thickBot="1" x14ac:dyDescent="0.45">
      <c r="A6" s="120" t="s">
        <v>52</v>
      </c>
      <c r="B6" s="137" t="s">
        <v>53</v>
      </c>
      <c r="C6" s="121" t="s">
        <v>54</v>
      </c>
      <c r="D6" s="121" t="s">
        <v>55</v>
      </c>
      <c r="E6" s="126" t="s">
        <v>14</v>
      </c>
      <c r="F6" s="127"/>
    </row>
    <row r="7" spans="1:6" x14ac:dyDescent="0.45">
      <c r="A7" s="25"/>
      <c r="C7" s="10"/>
      <c r="E7" s="83"/>
    </row>
    <row r="8" spans="1:6" x14ac:dyDescent="0.45">
      <c r="A8" s="25" t="s">
        <v>235</v>
      </c>
      <c r="B8" s="1">
        <v>15</v>
      </c>
      <c r="C8" s="59">
        <v>64967</v>
      </c>
      <c r="D8" s="10">
        <v>0.75</v>
      </c>
      <c r="E8" s="156">
        <f t="shared" ref="E8:E10" si="0">$C8*D8</f>
        <v>48725.25</v>
      </c>
    </row>
    <row r="9" spans="1:6" x14ac:dyDescent="0.45">
      <c r="A9" s="25" t="s">
        <v>132</v>
      </c>
      <c r="B9" s="1">
        <v>11</v>
      </c>
      <c r="C9" s="59">
        <v>44343</v>
      </c>
      <c r="D9" s="10">
        <v>1</v>
      </c>
      <c r="E9" s="156">
        <f t="shared" si="0"/>
        <v>44343</v>
      </c>
    </row>
    <row r="10" spans="1:6" x14ac:dyDescent="0.45">
      <c r="A10" s="25" t="s">
        <v>231</v>
      </c>
      <c r="B10" s="1">
        <v>9</v>
      </c>
      <c r="C10" s="59">
        <v>36672</v>
      </c>
      <c r="D10" s="10">
        <v>1</v>
      </c>
      <c r="E10" s="156">
        <f t="shared" si="0"/>
        <v>36672</v>
      </c>
    </row>
    <row r="11" spans="1:6" x14ac:dyDescent="0.45">
      <c r="A11" s="25"/>
      <c r="C11" s="59"/>
      <c r="D11" s="10"/>
      <c r="E11" s="156">
        <f t="shared" ref="E11" si="1">$C11*D11</f>
        <v>0</v>
      </c>
    </row>
    <row r="12" spans="1:6" x14ac:dyDescent="0.45">
      <c r="A12" s="25"/>
      <c r="C12" s="59"/>
      <c r="D12" s="10"/>
      <c r="E12" s="95"/>
    </row>
    <row r="13" spans="1:6" x14ac:dyDescent="0.45">
      <c r="A13" s="25"/>
      <c r="C13" s="59"/>
      <c r="D13" s="10"/>
      <c r="E13" s="95"/>
    </row>
    <row r="14" spans="1:6" x14ac:dyDescent="0.45">
      <c r="A14" s="25"/>
      <c r="C14" s="59"/>
      <c r="D14" s="10"/>
      <c r="E14" s="95"/>
    </row>
    <row r="15" spans="1:6" x14ac:dyDescent="0.45">
      <c r="A15" s="25"/>
      <c r="E15" s="83"/>
    </row>
    <row r="16" spans="1:6" x14ac:dyDescent="0.45">
      <c r="A16" s="25"/>
      <c r="C16" s="96"/>
      <c r="D16" s="10"/>
      <c r="E16" s="83"/>
    </row>
    <row r="17" spans="1:6" x14ac:dyDescent="0.45">
      <c r="A17" s="25" t="s">
        <v>55</v>
      </c>
      <c r="D17" s="62">
        <f>SUM(D8:D16)</f>
        <v>2.75</v>
      </c>
      <c r="E17" s="83"/>
    </row>
    <row r="18" spans="1:6" x14ac:dyDescent="0.45">
      <c r="A18" s="25"/>
      <c r="E18" s="83"/>
    </row>
    <row r="19" spans="1:6" x14ac:dyDescent="0.45">
      <c r="A19" s="25" t="s">
        <v>56</v>
      </c>
      <c r="E19" s="95">
        <f>SUM(E8:E14)</f>
        <v>129740.25</v>
      </c>
    </row>
    <row r="20" spans="1:6" x14ac:dyDescent="0.45">
      <c r="A20" s="25"/>
      <c r="E20" s="83"/>
    </row>
    <row r="21" spans="1:6" x14ac:dyDescent="0.45">
      <c r="A21" s="25" t="s">
        <v>133</v>
      </c>
      <c r="C21" s="97"/>
      <c r="E21" s="95">
        <f>E19*0.35</f>
        <v>45409.087499999994</v>
      </c>
    </row>
    <row r="22" spans="1:6" x14ac:dyDescent="0.45">
      <c r="A22" s="25" t="s">
        <v>57</v>
      </c>
      <c r="C22" s="6"/>
      <c r="E22" s="95"/>
    </row>
    <row r="23" spans="1:6" x14ac:dyDescent="0.45">
      <c r="A23" s="25" t="s">
        <v>58</v>
      </c>
      <c r="C23" s="97"/>
      <c r="E23" s="95"/>
    </row>
    <row r="24" spans="1:6" x14ac:dyDescent="0.45">
      <c r="A24" s="25" t="s">
        <v>237</v>
      </c>
      <c r="C24" s="97"/>
      <c r="E24" s="95"/>
    </row>
    <row r="25" spans="1:6" x14ac:dyDescent="0.45">
      <c r="A25" s="25" t="s">
        <v>118</v>
      </c>
      <c r="C25" s="97"/>
      <c r="E25" s="95"/>
    </row>
    <row r="26" spans="1:6" x14ac:dyDescent="0.45">
      <c r="A26" s="25"/>
      <c r="C26" s="97"/>
      <c r="E26" s="95"/>
    </row>
    <row r="27" spans="1:6" x14ac:dyDescent="0.45">
      <c r="A27" s="25"/>
      <c r="E27" s="83"/>
    </row>
    <row r="28" spans="1:6" ht="15.75" thickBot="1" x14ac:dyDescent="0.5">
      <c r="A28" s="28" t="s">
        <v>59</v>
      </c>
      <c r="B28" s="98"/>
      <c r="C28" s="98"/>
      <c r="D28" s="98"/>
      <c r="E28" s="100">
        <f>SUM(E19,E21)</f>
        <v>175149.33749999999</v>
      </c>
      <c r="F28" s="99"/>
    </row>
  </sheetData>
  <phoneticPr fontId="0" type="noConversion"/>
  <printOptions gridLines="1"/>
  <pageMargins left="0.75" right="0.75" top="1" bottom="1" header="0.5" footer="0.5"/>
  <pageSetup scale="57" fitToHeight="3" orientation="landscape" r:id="rId1"/>
  <headerFooter alignWithMargins="0">
    <oddHeader>&amp;LFull-Time Staff 3 Option Comparison&amp;R&amp;P</oddHeader>
    <oddFooter>&amp;LBallard*King &amp; Associates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65"/>
  <sheetViews>
    <sheetView zoomScaleNormal="100" workbookViewId="0">
      <selection activeCell="P50" sqref="P50"/>
    </sheetView>
  </sheetViews>
  <sheetFormatPr defaultRowHeight="15.4" x14ac:dyDescent="0.45"/>
  <cols>
    <col min="1" max="1" width="14.9296875" style="1" bestFit="1" customWidth="1"/>
    <col min="2" max="2" width="13" style="11" bestFit="1" customWidth="1"/>
    <col min="3" max="3" width="6.73046875" style="1" bestFit="1" customWidth="1"/>
    <col min="4" max="4" width="5" style="1" bestFit="1" customWidth="1"/>
    <col min="5" max="5" width="9.1328125" style="158" customWidth="1"/>
    <col min="6" max="6" width="9.1328125" style="1"/>
    <col min="7" max="7" width="10.1328125" style="1" bestFit="1" customWidth="1"/>
    <col min="8" max="8" width="13.86328125" style="1" bestFit="1" customWidth="1"/>
    <col min="9" max="9" width="5.3984375" style="1" bestFit="1" customWidth="1"/>
    <col min="10" max="10" width="5" style="1" bestFit="1" customWidth="1"/>
    <col min="11" max="12" width="9.06640625" style="1"/>
    <col min="13" max="13" width="15.73046875" style="1" bestFit="1" customWidth="1"/>
    <col min="14" max="14" width="13.86328125" style="1" bestFit="1" customWidth="1"/>
    <col min="15" max="15" width="5.3984375" style="1" bestFit="1" customWidth="1"/>
    <col min="16" max="16" width="5.265625" style="1" bestFit="1" customWidth="1"/>
    <col min="17" max="18" width="9.06640625" style="1"/>
    <col min="19" max="19" width="10.9296875" style="1" bestFit="1" customWidth="1"/>
    <col min="20" max="20" width="13.86328125" style="1" bestFit="1" customWidth="1"/>
    <col min="21" max="21" width="5.3984375" style="1" bestFit="1" customWidth="1"/>
    <col min="22" max="22" width="5.265625" style="1" bestFit="1" customWidth="1"/>
    <col min="23" max="24" width="9.06640625" style="1"/>
    <col min="25" max="25" width="15.33203125" style="1" bestFit="1" customWidth="1"/>
    <col min="26" max="26" width="13.86328125" style="1" bestFit="1" customWidth="1"/>
    <col min="27" max="30" width="9.06640625" style="1"/>
    <col min="31" max="31" width="15.33203125" style="1" bestFit="1" customWidth="1"/>
    <col min="32" max="32" width="13.86328125" style="1" bestFit="1" customWidth="1"/>
    <col min="33" max="16384" width="9.06640625" style="1"/>
  </cols>
  <sheetData>
    <row r="1" spans="1:35" x14ac:dyDescent="0.45">
      <c r="A1" s="5" t="s">
        <v>157</v>
      </c>
      <c r="B1" s="134"/>
    </row>
    <row r="2" spans="1:35" x14ac:dyDescent="0.45">
      <c r="A2" s="155" t="s">
        <v>165</v>
      </c>
      <c r="B2" s="134"/>
    </row>
    <row r="3" spans="1:35" x14ac:dyDescent="0.45">
      <c r="A3" s="5" t="s">
        <v>158</v>
      </c>
      <c r="B3" s="134" t="s">
        <v>159</v>
      </c>
    </row>
    <row r="4" spans="1:35" x14ac:dyDescent="0.45">
      <c r="A4" s="5" t="s">
        <v>160</v>
      </c>
      <c r="B4" s="134" t="s">
        <v>161</v>
      </c>
    </row>
    <row r="5" spans="1:35" x14ac:dyDescent="0.45">
      <c r="A5" s="5" t="s">
        <v>111</v>
      </c>
      <c r="B5" s="134" t="s">
        <v>162</v>
      </c>
    </row>
    <row r="6" spans="1:35" x14ac:dyDescent="0.45">
      <c r="A6" s="5" t="s">
        <v>163</v>
      </c>
      <c r="B6" s="134" t="s">
        <v>164</v>
      </c>
    </row>
    <row r="8" spans="1:35" x14ac:dyDescent="0.45">
      <c r="A8" s="1" t="s">
        <v>175</v>
      </c>
      <c r="B8" s="157" t="s">
        <v>145</v>
      </c>
      <c r="G8" s="1" t="s">
        <v>121</v>
      </c>
      <c r="H8" s="157" t="str">
        <f>B8</f>
        <v xml:space="preserve">School </v>
      </c>
      <c r="M8" s="1" t="s">
        <v>122</v>
      </c>
      <c r="N8" s="157" t="s">
        <v>145</v>
      </c>
      <c r="Q8" s="56"/>
      <c r="S8" s="1" t="s">
        <v>50</v>
      </c>
      <c r="T8" s="157" t="s">
        <v>145</v>
      </c>
      <c r="W8" s="56"/>
      <c r="Y8" s="1" t="s">
        <v>134</v>
      </c>
      <c r="Z8" s="157" t="s">
        <v>145</v>
      </c>
      <c r="AC8" s="56"/>
      <c r="AE8" s="1" t="s">
        <v>178</v>
      </c>
      <c r="AF8" s="157" t="s">
        <v>145</v>
      </c>
      <c r="AI8" s="56"/>
    </row>
    <row r="9" spans="1:35" x14ac:dyDescent="0.45">
      <c r="A9" s="1" t="s">
        <v>64</v>
      </c>
      <c r="B9" s="11" t="s">
        <v>65</v>
      </c>
      <c r="C9" s="10" t="s">
        <v>66</v>
      </c>
      <c r="D9" s="10" t="s">
        <v>67</v>
      </c>
      <c r="E9" s="159"/>
      <c r="G9" s="1" t="s">
        <v>64</v>
      </c>
      <c r="H9" s="11" t="s">
        <v>65</v>
      </c>
      <c r="I9" s="10" t="s">
        <v>66</v>
      </c>
      <c r="J9" s="10" t="s">
        <v>67</v>
      </c>
      <c r="K9" s="10"/>
      <c r="M9" s="1" t="s">
        <v>64</v>
      </c>
      <c r="N9" s="11" t="s">
        <v>65</v>
      </c>
      <c r="O9" s="10" t="s">
        <v>66</v>
      </c>
      <c r="P9" s="10" t="s">
        <v>67</v>
      </c>
      <c r="Q9" s="57"/>
      <c r="S9" s="1" t="s">
        <v>64</v>
      </c>
      <c r="T9" s="11" t="s">
        <v>65</v>
      </c>
      <c r="U9" s="10" t="s">
        <v>66</v>
      </c>
      <c r="V9" s="10" t="s">
        <v>67</v>
      </c>
      <c r="W9" s="57"/>
      <c r="Y9" s="1" t="s">
        <v>64</v>
      </c>
      <c r="Z9" s="11" t="s">
        <v>65</v>
      </c>
      <c r="AA9" s="10" t="s">
        <v>66</v>
      </c>
      <c r="AB9" s="10" t="s">
        <v>67</v>
      </c>
      <c r="AC9" s="57"/>
      <c r="AE9" s="1" t="s">
        <v>64</v>
      </c>
      <c r="AF9" s="11" t="s">
        <v>65</v>
      </c>
      <c r="AG9" s="10" t="s">
        <v>66</v>
      </c>
      <c r="AH9" s="10" t="s">
        <v>67</v>
      </c>
      <c r="AI9" s="57"/>
    </row>
    <row r="10" spans="1:35" x14ac:dyDescent="0.45">
      <c r="A10" s="12" t="s">
        <v>68</v>
      </c>
      <c r="B10" s="11" t="s">
        <v>143</v>
      </c>
      <c r="C10" s="10">
        <v>2.25</v>
      </c>
      <c r="D10" s="10">
        <v>1</v>
      </c>
      <c r="E10" s="160">
        <f t="shared" ref="E10" si="0">C10*D10</f>
        <v>2.25</v>
      </c>
      <c r="G10" s="12" t="s">
        <v>68</v>
      </c>
      <c r="H10" s="11" t="s">
        <v>151</v>
      </c>
      <c r="I10" s="10">
        <v>4.25</v>
      </c>
      <c r="J10" s="10">
        <v>1</v>
      </c>
      <c r="K10" s="160">
        <f t="shared" ref="K10:K15" si="1">I10*J10</f>
        <v>4.25</v>
      </c>
      <c r="M10" s="12" t="s">
        <v>68</v>
      </c>
      <c r="N10" s="11" t="s">
        <v>69</v>
      </c>
      <c r="O10" s="10">
        <v>7</v>
      </c>
      <c r="P10" s="10">
        <v>0</v>
      </c>
      <c r="Q10" s="160">
        <f t="shared" ref="Q10" si="2">O10*P10</f>
        <v>0</v>
      </c>
      <c r="S10" s="12" t="s">
        <v>68</v>
      </c>
      <c r="T10" s="11" t="s">
        <v>69</v>
      </c>
      <c r="U10" s="10">
        <v>7</v>
      </c>
      <c r="V10" s="10">
        <v>0</v>
      </c>
      <c r="W10" s="160">
        <f t="shared" ref="W10" si="3">U10*V10</f>
        <v>0</v>
      </c>
      <c r="Y10" s="12" t="s">
        <v>68</v>
      </c>
      <c r="Z10" s="11" t="s">
        <v>151</v>
      </c>
      <c r="AA10" s="10">
        <v>4.25</v>
      </c>
      <c r="AB10" s="10">
        <v>1</v>
      </c>
      <c r="AC10" s="160">
        <f t="shared" ref="AC10:AC22" si="4">AA10*AB10</f>
        <v>4.25</v>
      </c>
      <c r="AE10" s="12" t="s">
        <v>68</v>
      </c>
      <c r="AF10" s="11"/>
      <c r="AG10" s="10"/>
      <c r="AH10" s="10"/>
      <c r="AI10" s="160">
        <f t="shared" ref="AI10:AI20" si="5">AG10*AH10</f>
        <v>0</v>
      </c>
    </row>
    <row r="11" spans="1:35" x14ac:dyDescent="0.45">
      <c r="B11" s="58" t="s">
        <v>144</v>
      </c>
      <c r="C11" s="10">
        <v>4.25</v>
      </c>
      <c r="D11" s="10">
        <v>1</v>
      </c>
      <c r="E11" s="160">
        <f t="shared" ref="E11:E21" si="6">C11*D11</f>
        <v>4.25</v>
      </c>
      <c r="H11" s="58" t="s">
        <v>150</v>
      </c>
      <c r="I11" s="10">
        <v>5</v>
      </c>
      <c r="J11" s="10">
        <v>1</v>
      </c>
      <c r="K11" s="160">
        <f t="shared" si="1"/>
        <v>5</v>
      </c>
      <c r="M11" s="12" t="s">
        <v>70</v>
      </c>
      <c r="N11" s="11" t="s">
        <v>69</v>
      </c>
      <c r="O11" s="10">
        <v>7</v>
      </c>
      <c r="P11" s="10">
        <v>0</v>
      </c>
      <c r="Q11" s="160">
        <f t="shared" ref="Q11:Q16" si="7">O11*P11</f>
        <v>0</v>
      </c>
      <c r="S11" s="12" t="s">
        <v>70</v>
      </c>
      <c r="T11" s="11" t="s">
        <v>69</v>
      </c>
      <c r="U11" s="10">
        <v>7</v>
      </c>
      <c r="V11" s="10">
        <v>0</v>
      </c>
      <c r="W11" s="160">
        <f t="shared" ref="W11:W16" si="8">U11*V11</f>
        <v>0</v>
      </c>
      <c r="Y11" s="12"/>
      <c r="Z11" s="1" t="s">
        <v>155</v>
      </c>
      <c r="AA11" s="10">
        <v>5.75</v>
      </c>
      <c r="AB11" s="10">
        <v>1</v>
      </c>
      <c r="AC11" s="160">
        <f t="shared" si="4"/>
        <v>5.75</v>
      </c>
      <c r="AE11" s="12"/>
      <c r="AF11" s="1" t="s">
        <v>155</v>
      </c>
      <c r="AG11" s="10">
        <v>5.75</v>
      </c>
      <c r="AH11" s="10">
        <v>1</v>
      </c>
      <c r="AI11" s="160">
        <f t="shared" si="5"/>
        <v>5.75</v>
      </c>
    </row>
    <row r="12" spans="1:35" x14ac:dyDescent="0.45">
      <c r="A12" s="12" t="s">
        <v>70</v>
      </c>
      <c r="B12" s="11" t="s">
        <v>143</v>
      </c>
      <c r="C12" s="10">
        <v>2.25</v>
      </c>
      <c r="D12" s="10">
        <v>1</v>
      </c>
      <c r="E12" s="160">
        <f t="shared" si="6"/>
        <v>2.25</v>
      </c>
      <c r="H12" s="1" t="s">
        <v>152</v>
      </c>
      <c r="I12" s="10">
        <v>6.25</v>
      </c>
      <c r="J12" s="10">
        <v>1</v>
      </c>
      <c r="K12" s="160">
        <f t="shared" si="1"/>
        <v>6.25</v>
      </c>
      <c r="M12" s="12" t="s">
        <v>71</v>
      </c>
      <c r="N12" s="11" t="s">
        <v>69</v>
      </c>
      <c r="O12" s="10">
        <v>7</v>
      </c>
      <c r="P12" s="10">
        <v>0</v>
      </c>
      <c r="Q12" s="160">
        <f t="shared" si="7"/>
        <v>0</v>
      </c>
      <c r="S12" s="12" t="s">
        <v>71</v>
      </c>
      <c r="T12" s="11" t="s">
        <v>69</v>
      </c>
      <c r="U12" s="10">
        <v>7</v>
      </c>
      <c r="V12" s="10">
        <v>0</v>
      </c>
      <c r="W12" s="160">
        <f t="shared" si="8"/>
        <v>0</v>
      </c>
      <c r="Y12" s="12" t="s">
        <v>70</v>
      </c>
      <c r="Z12" s="11" t="s">
        <v>151</v>
      </c>
      <c r="AA12" s="10">
        <v>4.25</v>
      </c>
      <c r="AB12" s="10">
        <v>1</v>
      </c>
      <c r="AC12" s="160">
        <f t="shared" si="4"/>
        <v>4.25</v>
      </c>
      <c r="AE12" s="12" t="s">
        <v>70</v>
      </c>
      <c r="AF12" s="11"/>
      <c r="AG12" s="10"/>
      <c r="AH12" s="10"/>
      <c r="AI12" s="160">
        <f t="shared" si="5"/>
        <v>0</v>
      </c>
    </row>
    <row r="13" spans="1:35" x14ac:dyDescent="0.45">
      <c r="B13" s="58" t="s">
        <v>144</v>
      </c>
      <c r="C13" s="10">
        <v>4.25</v>
      </c>
      <c r="D13" s="10">
        <v>1</v>
      </c>
      <c r="E13" s="160">
        <f t="shared" si="6"/>
        <v>4.25</v>
      </c>
      <c r="G13" s="12" t="s">
        <v>70</v>
      </c>
      <c r="H13" s="11" t="s">
        <v>151</v>
      </c>
      <c r="I13" s="10">
        <v>4.25</v>
      </c>
      <c r="J13" s="10">
        <v>1</v>
      </c>
      <c r="K13" s="160">
        <f t="shared" si="1"/>
        <v>4.25</v>
      </c>
      <c r="M13" s="12" t="s">
        <v>72</v>
      </c>
      <c r="N13" s="11" t="s">
        <v>69</v>
      </c>
      <c r="O13" s="10">
        <v>7</v>
      </c>
      <c r="P13" s="10">
        <v>0</v>
      </c>
      <c r="Q13" s="160">
        <f t="shared" si="7"/>
        <v>0</v>
      </c>
      <c r="S13" s="12" t="s">
        <v>72</v>
      </c>
      <c r="T13" s="11" t="s">
        <v>69</v>
      </c>
      <c r="U13" s="10">
        <v>7</v>
      </c>
      <c r="V13" s="10">
        <v>0</v>
      </c>
      <c r="W13" s="160">
        <f t="shared" si="8"/>
        <v>0</v>
      </c>
      <c r="Y13" s="12"/>
      <c r="Z13" s="1" t="s">
        <v>155</v>
      </c>
      <c r="AA13" s="10">
        <v>5.75</v>
      </c>
      <c r="AB13" s="10">
        <v>1</v>
      </c>
      <c r="AC13" s="160">
        <f t="shared" si="4"/>
        <v>5.75</v>
      </c>
      <c r="AE13" s="12"/>
      <c r="AF13" s="1" t="s">
        <v>155</v>
      </c>
      <c r="AG13" s="10">
        <v>5.75</v>
      </c>
      <c r="AH13" s="10">
        <v>1</v>
      </c>
      <c r="AI13" s="160">
        <f t="shared" si="5"/>
        <v>5.75</v>
      </c>
    </row>
    <row r="14" spans="1:35" x14ac:dyDescent="0.45">
      <c r="A14" s="12" t="s">
        <v>71</v>
      </c>
      <c r="B14" s="11" t="s">
        <v>143</v>
      </c>
      <c r="C14" s="10">
        <v>2.25</v>
      </c>
      <c r="D14" s="10">
        <v>1</v>
      </c>
      <c r="E14" s="160">
        <f t="shared" si="6"/>
        <v>2.25</v>
      </c>
      <c r="H14" s="58" t="s">
        <v>150</v>
      </c>
      <c r="I14" s="10">
        <v>5</v>
      </c>
      <c r="J14" s="10">
        <v>1</v>
      </c>
      <c r="K14" s="160">
        <f t="shared" si="1"/>
        <v>5</v>
      </c>
      <c r="M14" s="12" t="s">
        <v>73</v>
      </c>
      <c r="N14" s="11" t="s">
        <v>69</v>
      </c>
      <c r="O14" s="10">
        <v>7</v>
      </c>
      <c r="P14" s="10">
        <v>0</v>
      </c>
      <c r="Q14" s="160">
        <f t="shared" si="7"/>
        <v>0</v>
      </c>
      <c r="S14" s="12" t="s">
        <v>73</v>
      </c>
      <c r="T14" s="11" t="s">
        <v>69</v>
      </c>
      <c r="U14" s="10">
        <v>7</v>
      </c>
      <c r="V14" s="10">
        <v>0</v>
      </c>
      <c r="W14" s="160">
        <f t="shared" si="8"/>
        <v>0</v>
      </c>
      <c r="Y14" s="12" t="s">
        <v>71</v>
      </c>
      <c r="Z14" s="11" t="s">
        <v>151</v>
      </c>
      <c r="AA14" s="10">
        <v>4.25</v>
      </c>
      <c r="AB14" s="10">
        <v>1</v>
      </c>
      <c r="AC14" s="160">
        <f t="shared" si="4"/>
        <v>4.25</v>
      </c>
      <c r="AE14" s="12" t="s">
        <v>71</v>
      </c>
      <c r="AF14" s="11"/>
      <c r="AG14" s="10"/>
      <c r="AH14" s="10"/>
      <c r="AI14" s="160">
        <f t="shared" si="5"/>
        <v>0</v>
      </c>
    </row>
    <row r="15" spans="1:35" x14ac:dyDescent="0.45">
      <c r="B15" s="58" t="s">
        <v>144</v>
      </c>
      <c r="C15" s="10">
        <v>4.25</v>
      </c>
      <c r="D15" s="10">
        <v>1</v>
      </c>
      <c r="E15" s="160">
        <f t="shared" si="6"/>
        <v>4.25</v>
      </c>
      <c r="H15" s="1" t="s">
        <v>152</v>
      </c>
      <c r="I15" s="10">
        <v>6.25</v>
      </c>
      <c r="J15" s="10">
        <v>1</v>
      </c>
      <c r="K15" s="160">
        <f t="shared" si="1"/>
        <v>6.25</v>
      </c>
      <c r="M15" s="12" t="s">
        <v>74</v>
      </c>
      <c r="N15" s="11" t="s">
        <v>169</v>
      </c>
      <c r="O15" s="10">
        <v>6</v>
      </c>
      <c r="P15" s="10">
        <v>0</v>
      </c>
      <c r="Q15" s="160">
        <f t="shared" si="7"/>
        <v>0</v>
      </c>
      <c r="S15" s="12" t="s">
        <v>74</v>
      </c>
      <c r="T15" s="11" t="s">
        <v>169</v>
      </c>
      <c r="U15" s="10">
        <v>6</v>
      </c>
      <c r="V15" s="10">
        <v>0</v>
      </c>
      <c r="W15" s="160">
        <f t="shared" si="8"/>
        <v>0</v>
      </c>
      <c r="Y15" s="12"/>
      <c r="Z15" s="1" t="s">
        <v>155</v>
      </c>
      <c r="AA15" s="10">
        <v>5.75</v>
      </c>
      <c r="AB15" s="10">
        <v>1</v>
      </c>
      <c r="AC15" s="160">
        <f t="shared" si="4"/>
        <v>5.75</v>
      </c>
      <c r="AE15" s="12"/>
      <c r="AF15" s="1" t="s">
        <v>155</v>
      </c>
      <c r="AG15" s="10">
        <v>5.75</v>
      </c>
      <c r="AH15" s="10">
        <v>1</v>
      </c>
      <c r="AI15" s="160">
        <f t="shared" si="5"/>
        <v>5.75</v>
      </c>
    </row>
    <row r="16" spans="1:35" x14ac:dyDescent="0.45">
      <c r="A16" s="12" t="s">
        <v>72</v>
      </c>
      <c r="B16" s="11" t="s">
        <v>143</v>
      </c>
      <c r="C16" s="10">
        <v>2.25</v>
      </c>
      <c r="D16" s="10">
        <v>1</v>
      </c>
      <c r="E16" s="160">
        <f t="shared" si="6"/>
        <v>2.25</v>
      </c>
      <c r="G16" s="12" t="s">
        <v>71</v>
      </c>
      <c r="H16" s="11" t="s">
        <v>151</v>
      </c>
      <c r="I16" s="10">
        <v>4.25</v>
      </c>
      <c r="J16" s="10">
        <v>1</v>
      </c>
      <c r="K16" s="160">
        <f t="shared" ref="K16:K24" si="9">I16*J16</f>
        <v>4.25</v>
      </c>
      <c r="M16" s="12" t="s">
        <v>75</v>
      </c>
      <c r="N16" s="11" t="s">
        <v>190</v>
      </c>
      <c r="O16" s="10">
        <v>4</v>
      </c>
      <c r="P16" s="10">
        <v>0</v>
      </c>
      <c r="Q16" s="160">
        <f t="shared" si="7"/>
        <v>0</v>
      </c>
      <c r="S16" s="12" t="s">
        <v>75</v>
      </c>
      <c r="T16" s="11" t="s">
        <v>190</v>
      </c>
      <c r="U16" s="10">
        <v>4</v>
      </c>
      <c r="V16" s="10">
        <v>0</v>
      </c>
      <c r="W16" s="160">
        <f t="shared" si="8"/>
        <v>0</v>
      </c>
      <c r="Y16" s="12" t="s">
        <v>72</v>
      </c>
      <c r="Z16" s="11" t="s">
        <v>151</v>
      </c>
      <c r="AA16" s="10">
        <v>4.25</v>
      </c>
      <c r="AB16" s="10">
        <v>1</v>
      </c>
      <c r="AC16" s="160">
        <f t="shared" si="4"/>
        <v>4.25</v>
      </c>
      <c r="AE16" s="12" t="s">
        <v>72</v>
      </c>
      <c r="AF16" s="11"/>
      <c r="AG16" s="10"/>
      <c r="AH16" s="10"/>
      <c r="AI16" s="160">
        <f t="shared" si="5"/>
        <v>0</v>
      </c>
    </row>
    <row r="17" spans="1:35" x14ac:dyDescent="0.45">
      <c r="B17" s="58" t="s">
        <v>144</v>
      </c>
      <c r="C17" s="10">
        <v>4.25</v>
      </c>
      <c r="D17" s="10">
        <v>1</v>
      </c>
      <c r="E17" s="160">
        <f t="shared" si="6"/>
        <v>4.25</v>
      </c>
      <c r="H17" s="58" t="s">
        <v>150</v>
      </c>
      <c r="I17" s="10">
        <v>5</v>
      </c>
      <c r="J17" s="10">
        <v>1</v>
      </c>
      <c r="K17" s="160">
        <f t="shared" si="9"/>
        <v>5</v>
      </c>
      <c r="Q17" s="158"/>
      <c r="W17" s="158"/>
      <c r="Y17" s="12"/>
      <c r="Z17" s="1" t="s">
        <v>155</v>
      </c>
      <c r="AA17" s="10">
        <v>5.75</v>
      </c>
      <c r="AB17" s="10">
        <v>1</v>
      </c>
      <c r="AC17" s="160">
        <f t="shared" si="4"/>
        <v>5.75</v>
      </c>
      <c r="AE17" s="12"/>
      <c r="AF17" s="1" t="s">
        <v>155</v>
      </c>
      <c r="AG17" s="10">
        <v>5.75</v>
      </c>
      <c r="AH17" s="10">
        <v>1</v>
      </c>
      <c r="AI17" s="160">
        <f t="shared" si="5"/>
        <v>5.75</v>
      </c>
    </row>
    <row r="18" spans="1:35" x14ac:dyDescent="0.45">
      <c r="A18" s="12" t="s">
        <v>73</v>
      </c>
      <c r="B18" s="11" t="s">
        <v>143</v>
      </c>
      <c r="C18" s="10">
        <v>2.25</v>
      </c>
      <c r="D18" s="10">
        <v>1</v>
      </c>
      <c r="E18" s="160">
        <f t="shared" si="6"/>
        <v>2.25</v>
      </c>
      <c r="H18" s="1" t="s">
        <v>152</v>
      </c>
      <c r="I18" s="10">
        <v>6.25</v>
      </c>
      <c r="J18" s="10">
        <v>1</v>
      </c>
      <c r="K18" s="160">
        <f t="shared" si="9"/>
        <v>6.25</v>
      </c>
      <c r="Q18" s="158"/>
      <c r="W18" s="158"/>
      <c r="Y18" s="12" t="s">
        <v>73</v>
      </c>
      <c r="Z18" s="11" t="s">
        <v>151</v>
      </c>
      <c r="AA18" s="10">
        <v>4.25</v>
      </c>
      <c r="AB18" s="10">
        <v>1</v>
      </c>
      <c r="AC18" s="160">
        <f t="shared" si="4"/>
        <v>4.25</v>
      </c>
      <c r="AE18" s="12" t="s">
        <v>73</v>
      </c>
      <c r="AF18" s="11"/>
      <c r="AG18" s="10"/>
      <c r="AH18" s="10"/>
      <c r="AI18" s="160">
        <f t="shared" si="5"/>
        <v>0</v>
      </c>
    </row>
    <row r="19" spans="1:35" x14ac:dyDescent="0.45">
      <c r="B19" s="58"/>
      <c r="C19" s="10"/>
      <c r="D19" s="10"/>
      <c r="E19" s="160">
        <f t="shared" si="6"/>
        <v>0</v>
      </c>
      <c r="G19" s="12" t="s">
        <v>72</v>
      </c>
      <c r="H19" s="11" t="s">
        <v>151</v>
      </c>
      <c r="I19" s="10">
        <v>4.25</v>
      </c>
      <c r="J19" s="10">
        <v>1</v>
      </c>
      <c r="K19" s="160">
        <f t="shared" si="9"/>
        <v>4.25</v>
      </c>
      <c r="Q19" s="158"/>
      <c r="W19" s="158"/>
      <c r="Y19" s="12"/>
      <c r="Z19" s="1" t="s">
        <v>156</v>
      </c>
      <c r="AA19" s="10">
        <v>2.75</v>
      </c>
      <c r="AB19" s="10">
        <v>1</v>
      </c>
      <c r="AC19" s="160">
        <f t="shared" si="4"/>
        <v>2.75</v>
      </c>
      <c r="AE19" s="12"/>
      <c r="AF19" s="1" t="s">
        <v>156</v>
      </c>
      <c r="AG19" s="10">
        <v>2.75</v>
      </c>
      <c r="AH19" s="10">
        <v>1</v>
      </c>
      <c r="AI19" s="160">
        <f t="shared" si="5"/>
        <v>2.75</v>
      </c>
    </row>
    <row r="20" spans="1:35" x14ac:dyDescent="0.45">
      <c r="A20" s="12" t="s">
        <v>74</v>
      </c>
      <c r="B20" s="58" t="s">
        <v>146</v>
      </c>
      <c r="C20" s="10">
        <v>10.5</v>
      </c>
      <c r="D20" s="10">
        <v>1</v>
      </c>
      <c r="E20" s="160">
        <f t="shared" si="6"/>
        <v>10.5</v>
      </c>
      <c r="H20" s="58" t="s">
        <v>150</v>
      </c>
      <c r="I20" s="10">
        <v>5</v>
      </c>
      <c r="J20" s="10">
        <v>1</v>
      </c>
      <c r="K20" s="160">
        <f t="shared" si="9"/>
        <v>5</v>
      </c>
      <c r="Q20" s="158"/>
      <c r="W20" s="158"/>
      <c r="Y20" s="12" t="s">
        <v>74</v>
      </c>
      <c r="Z20" s="11" t="s">
        <v>169</v>
      </c>
      <c r="AA20" s="10">
        <v>6</v>
      </c>
      <c r="AB20" s="10">
        <v>1</v>
      </c>
      <c r="AC20" s="160">
        <f t="shared" si="4"/>
        <v>6</v>
      </c>
      <c r="AE20" s="12" t="s">
        <v>74</v>
      </c>
      <c r="AF20" s="11" t="s">
        <v>179</v>
      </c>
      <c r="AG20" s="10">
        <v>10</v>
      </c>
      <c r="AH20" s="10">
        <v>1</v>
      </c>
      <c r="AI20" s="160">
        <f t="shared" si="5"/>
        <v>10</v>
      </c>
    </row>
    <row r="21" spans="1:35" x14ac:dyDescent="0.45">
      <c r="A21" s="12" t="s">
        <v>75</v>
      </c>
      <c r="B21" s="58" t="s">
        <v>147</v>
      </c>
      <c r="C21" s="10">
        <v>6.25</v>
      </c>
      <c r="D21" s="10">
        <v>1</v>
      </c>
      <c r="E21" s="160">
        <f t="shared" si="6"/>
        <v>6.25</v>
      </c>
      <c r="H21" s="1" t="s">
        <v>152</v>
      </c>
      <c r="I21" s="10">
        <v>6.25</v>
      </c>
      <c r="J21" s="10">
        <v>1</v>
      </c>
      <c r="K21" s="160">
        <f t="shared" si="9"/>
        <v>6.25</v>
      </c>
      <c r="N21" s="11"/>
      <c r="O21" s="10"/>
      <c r="P21" s="10"/>
      <c r="Q21" s="159"/>
      <c r="T21" s="11"/>
      <c r="U21" s="10"/>
      <c r="V21" s="10"/>
      <c r="W21" s="159"/>
      <c r="Y21" s="12"/>
      <c r="Z21" s="11"/>
      <c r="AA21" s="10"/>
      <c r="AB21" s="10"/>
      <c r="AC21" s="160"/>
      <c r="AE21" s="12"/>
      <c r="AF21" s="11"/>
      <c r="AG21" s="10"/>
      <c r="AH21" s="10"/>
      <c r="AI21" s="160"/>
    </row>
    <row r="22" spans="1:35" x14ac:dyDescent="0.45">
      <c r="G22" s="12" t="s">
        <v>73</v>
      </c>
      <c r="H22" s="11" t="s">
        <v>151</v>
      </c>
      <c r="I22" s="10">
        <v>4.25</v>
      </c>
      <c r="J22" s="10">
        <v>1</v>
      </c>
      <c r="K22" s="160">
        <f t="shared" si="9"/>
        <v>4.25</v>
      </c>
      <c r="Q22" s="158"/>
      <c r="W22" s="158"/>
      <c r="Y22" s="12" t="s">
        <v>75</v>
      </c>
      <c r="Z22" s="11" t="s">
        <v>170</v>
      </c>
      <c r="AA22" s="10">
        <v>4</v>
      </c>
      <c r="AB22" s="10">
        <v>1</v>
      </c>
      <c r="AC22" s="160">
        <f t="shared" si="4"/>
        <v>4</v>
      </c>
      <c r="AE22" s="12" t="s">
        <v>75</v>
      </c>
      <c r="AF22" s="11" t="s">
        <v>182</v>
      </c>
      <c r="AG22" s="10">
        <v>6</v>
      </c>
      <c r="AH22" s="10">
        <v>1</v>
      </c>
      <c r="AI22" s="160">
        <f t="shared" ref="AI22" si="10">AG22*AH22</f>
        <v>6</v>
      </c>
    </row>
    <row r="23" spans="1:35" x14ac:dyDescent="0.45">
      <c r="B23" s="1"/>
      <c r="C23" s="10"/>
      <c r="D23" s="10"/>
      <c r="E23" s="159"/>
      <c r="H23" s="58" t="s">
        <v>150</v>
      </c>
      <c r="I23" s="10">
        <v>5</v>
      </c>
      <c r="J23" s="10">
        <v>1</v>
      </c>
      <c r="K23" s="160">
        <f t="shared" si="9"/>
        <v>5</v>
      </c>
      <c r="Q23" s="158"/>
      <c r="W23" s="158"/>
      <c r="AC23" s="158"/>
    </row>
    <row r="24" spans="1:35" x14ac:dyDescent="0.45">
      <c r="B24" s="1"/>
      <c r="E24" s="159"/>
      <c r="H24" s="1" t="s">
        <v>153</v>
      </c>
      <c r="I24" s="10">
        <v>3.25</v>
      </c>
      <c r="J24" s="10">
        <v>1</v>
      </c>
      <c r="K24" s="160">
        <f t="shared" si="9"/>
        <v>3.25</v>
      </c>
      <c r="N24" s="11"/>
      <c r="O24" s="10"/>
      <c r="P24" s="10"/>
      <c r="Q24" s="159"/>
      <c r="T24" s="11"/>
      <c r="U24" s="10"/>
      <c r="V24" s="10"/>
      <c r="W24" s="159"/>
      <c r="AC24" s="158"/>
    </row>
    <row r="25" spans="1:35" x14ac:dyDescent="0.45">
      <c r="B25" s="1"/>
      <c r="E25" s="159"/>
      <c r="G25" s="12" t="s">
        <v>74</v>
      </c>
      <c r="H25" s="11" t="s">
        <v>172</v>
      </c>
      <c r="I25" s="10">
        <v>4.25</v>
      </c>
      <c r="J25" s="10">
        <v>1</v>
      </c>
      <c r="K25" s="160">
        <f>I25*J25</f>
        <v>4.25</v>
      </c>
      <c r="Q25" s="158"/>
      <c r="W25" s="158"/>
      <c r="AC25" s="158"/>
    </row>
    <row r="26" spans="1:35" x14ac:dyDescent="0.45">
      <c r="B26" s="1"/>
      <c r="E26" s="159"/>
      <c r="H26" s="58" t="s">
        <v>174</v>
      </c>
      <c r="I26" s="10">
        <v>6.25</v>
      </c>
      <c r="J26" s="10">
        <v>1</v>
      </c>
      <c r="K26" s="160">
        <f>I26*J26</f>
        <v>6.25</v>
      </c>
      <c r="N26" s="11"/>
      <c r="O26" s="10"/>
      <c r="P26" s="10"/>
      <c r="Q26" s="159"/>
      <c r="T26" s="11"/>
      <c r="U26" s="10"/>
      <c r="V26" s="10"/>
      <c r="W26" s="159"/>
      <c r="AC26" s="158"/>
    </row>
    <row r="27" spans="1:35" x14ac:dyDescent="0.45">
      <c r="B27" s="1"/>
      <c r="E27" s="159"/>
      <c r="I27" s="10"/>
      <c r="J27" s="10"/>
      <c r="K27" s="160">
        <f>I27*J27</f>
        <v>0</v>
      </c>
      <c r="N27" s="11"/>
      <c r="O27" s="10"/>
      <c r="P27" s="10"/>
      <c r="Q27" s="159"/>
      <c r="T27" s="11"/>
      <c r="U27" s="10"/>
      <c r="V27" s="10"/>
      <c r="W27" s="159"/>
      <c r="AC27" s="158"/>
    </row>
    <row r="28" spans="1:35" x14ac:dyDescent="0.45">
      <c r="B28" s="1"/>
      <c r="E28" s="159"/>
      <c r="G28" s="12" t="s">
        <v>75</v>
      </c>
      <c r="H28" s="58" t="s">
        <v>154</v>
      </c>
      <c r="I28" s="10">
        <v>6.25</v>
      </c>
      <c r="J28" s="10">
        <v>1</v>
      </c>
      <c r="K28" s="160">
        <f>I28*J28</f>
        <v>6.25</v>
      </c>
      <c r="Q28" s="159"/>
      <c r="W28" s="159"/>
      <c r="AC28" s="158"/>
    </row>
    <row r="29" spans="1:35" x14ac:dyDescent="0.45">
      <c r="B29" s="1"/>
      <c r="E29" s="159"/>
      <c r="I29" s="10"/>
      <c r="J29" s="10"/>
      <c r="K29" s="160">
        <f>I29*J29</f>
        <v>0</v>
      </c>
      <c r="Q29" s="159"/>
      <c r="W29" s="159"/>
      <c r="AC29" s="158"/>
    </row>
    <row r="30" spans="1:35" x14ac:dyDescent="0.45">
      <c r="B30" s="1"/>
      <c r="E30" s="159"/>
      <c r="I30" s="10"/>
      <c r="J30" s="10"/>
      <c r="K30" s="10"/>
      <c r="Q30" s="159"/>
      <c r="W30" s="159"/>
      <c r="AC30" s="158"/>
    </row>
    <row r="31" spans="1:35" x14ac:dyDescent="0.45">
      <c r="B31" s="1"/>
      <c r="C31" s="10"/>
      <c r="D31" s="10"/>
      <c r="E31" s="159"/>
      <c r="I31" s="10"/>
      <c r="J31" s="10"/>
      <c r="K31" s="10"/>
      <c r="O31" s="10"/>
      <c r="P31" s="10"/>
      <c r="Q31" s="159"/>
      <c r="U31" s="10"/>
      <c r="V31" s="10"/>
      <c r="W31" s="159"/>
      <c r="AC31" s="158"/>
    </row>
    <row r="32" spans="1:35" x14ac:dyDescent="0.45">
      <c r="B32" s="1"/>
      <c r="E32" s="138">
        <f>SUM(E10:E31)</f>
        <v>45</v>
      </c>
      <c r="K32" s="138">
        <f>SUM(K10:K31)</f>
        <v>91.25</v>
      </c>
      <c r="Q32" s="138">
        <f>SUM(Q10:Q31)</f>
        <v>0</v>
      </c>
      <c r="W32" s="138">
        <f>SUM(W10:W31)</f>
        <v>0</v>
      </c>
      <c r="AC32" s="138">
        <f>SUM(AC10:AC31)</f>
        <v>57</v>
      </c>
      <c r="AI32" s="138">
        <f>SUM(AI10:AI31)</f>
        <v>41.75</v>
      </c>
    </row>
    <row r="33" spans="1:35" x14ac:dyDescent="0.45">
      <c r="B33" s="1"/>
      <c r="Q33" s="158"/>
      <c r="W33" s="158"/>
      <c r="AC33" s="158"/>
    </row>
    <row r="34" spans="1:35" x14ac:dyDescent="0.45">
      <c r="A34" s="5" t="s">
        <v>157</v>
      </c>
      <c r="B34" s="134"/>
    </row>
    <row r="35" spans="1:35" x14ac:dyDescent="0.45">
      <c r="A35" s="155" t="s">
        <v>166</v>
      </c>
      <c r="B35" s="134"/>
    </row>
    <row r="36" spans="1:35" x14ac:dyDescent="0.45">
      <c r="A36" s="5" t="s">
        <v>158</v>
      </c>
      <c r="B36" s="134" t="s">
        <v>167</v>
      </c>
    </row>
    <row r="37" spans="1:35" x14ac:dyDescent="0.45">
      <c r="A37" s="5" t="s">
        <v>160</v>
      </c>
      <c r="B37" s="134" t="s">
        <v>161</v>
      </c>
    </row>
    <row r="38" spans="1:35" x14ac:dyDescent="0.45">
      <c r="A38" s="5" t="s">
        <v>111</v>
      </c>
      <c r="B38" s="134" t="s">
        <v>168</v>
      </c>
    </row>
    <row r="39" spans="1:35" x14ac:dyDescent="0.45">
      <c r="A39" s="5" t="s">
        <v>163</v>
      </c>
      <c r="B39" s="134" t="s">
        <v>164</v>
      </c>
    </row>
    <row r="41" spans="1:35" x14ac:dyDescent="0.45">
      <c r="A41" s="1" t="str">
        <f>A8</f>
        <v>Bldg Supervisor</v>
      </c>
      <c r="B41" s="157" t="s">
        <v>109</v>
      </c>
      <c r="C41" s="10"/>
      <c r="D41" s="10"/>
      <c r="E41" s="159"/>
      <c r="G41" s="1" t="str">
        <f>G8</f>
        <v>Front Desk</v>
      </c>
      <c r="H41" s="157" t="str">
        <f>B41</f>
        <v>Summer</v>
      </c>
      <c r="I41" s="10"/>
      <c r="J41" s="10"/>
      <c r="K41" s="10"/>
      <c r="M41" s="1" t="str">
        <f>M8</f>
        <v>Lead Concessions</v>
      </c>
      <c r="N41" s="157" t="str">
        <f>H41</f>
        <v>Summer</v>
      </c>
      <c r="O41" s="10"/>
      <c r="P41" s="10"/>
      <c r="Q41" s="159"/>
      <c r="S41" s="1" t="str">
        <f>S8</f>
        <v>Concessions</v>
      </c>
      <c r="T41" s="157" t="str">
        <f>N41</f>
        <v>Summer</v>
      </c>
      <c r="U41" s="10"/>
      <c r="V41" s="10"/>
      <c r="W41" s="159"/>
      <c r="Y41" s="1" t="str">
        <f>Y8</f>
        <v>Fitness Attendant</v>
      </c>
      <c r="AA41" s="157" t="str">
        <f>B41</f>
        <v>Summer</v>
      </c>
      <c r="AC41" s="158"/>
      <c r="AE41" s="1" t="s">
        <v>178</v>
      </c>
      <c r="AF41" s="157" t="str">
        <f>B41</f>
        <v>Summer</v>
      </c>
      <c r="AI41" s="56"/>
    </row>
    <row r="42" spans="1:35" x14ac:dyDescent="0.45">
      <c r="A42" s="1" t="s">
        <v>64</v>
      </c>
      <c r="B42" s="11" t="s">
        <v>65</v>
      </c>
      <c r="C42" s="10" t="s">
        <v>66</v>
      </c>
      <c r="D42" s="10" t="s">
        <v>67</v>
      </c>
      <c r="E42" s="159"/>
      <c r="G42" s="1" t="s">
        <v>64</v>
      </c>
      <c r="H42" s="11" t="s">
        <v>65</v>
      </c>
      <c r="I42" s="10" t="s">
        <v>66</v>
      </c>
      <c r="J42" s="10" t="s">
        <v>67</v>
      </c>
      <c r="K42" s="10"/>
      <c r="M42" s="1" t="s">
        <v>64</v>
      </c>
      <c r="N42" s="11" t="s">
        <v>65</v>
      </c>
      <c r="O42" s="10" t="s">
        <v>66</v>
      </c>
      <c r="P42" s="10" t="s">
        <v>67</v>
      </c>
      <c r="Q42" s="159"/>
      <c r="S42" s="1" t="s">
        <v>64</v>
      </c>
      <c r="T42" s="11" t="s">
        <v>65</v>
      </c>
      <c r="U42" s="10" t="s">
        <v>66</v>
      </c>
      <c r="V42" s="10" t="s">
        <v>67</v>
      </c>
      <c r="W42" s="159"/>
      <c r="Y42" s="1" t="s">
        <v>64</v>
      </c>
      <c r="Z42" s="11" t="s">
        <v>65</v>
      </c>
      <c r="AA42" s="10" t="s">
        <v>66</v>
      </c>
      <c r="AB42" s="10" t="s">
        <v>67</v>
      </c>
      <c r="AC42" s="158"/>
      <c r="AE42" s="1" t="s">
        <v>64</v>
      </c>
      <c r="AF42" s="11" t="s">
        <v>65</v>
      </c>
      <c r="AG42" s="10" t="s">
        <v>66</v>
      </c>
      <c r="AH42" s="10" t="s">
        <v>67</v>
      </c>
      <c r="AI42" s="57"/>
    </row>
    <row r="43" spans="1:35" x14ac:dyDescent="0.45">
      <c r="A43" s="12" t="s">
        <v>68</v>
      </c>
      <c r="B43" s="11" t="s">
        <v>143</v>
      </c>
      <c r="C43" s="10">
        <v>2.25</v>
      </c>
      <c r="D43" s="10">
        <v>1</v>
      </c>
      <c r="E43" s="160">
        <f t="shared" ref="E43:E54" si="11">C43*D43</f>
        <v>2.25</v>
      </c>
      <c r="G43" s="12" t="s">
        <v>68</v>
      </c>
      <c r="H43" s="11" t="s">
        <v>151</v>
      </c>
      <c r="I43" s="10">
        <v>4.25</v>
      </c>
      <c r="J43" s="10">
        <v>1</v>
      </c>
      <c r="K43" s="160">
        <f t="shared" ref="K43:K62" si="12">I43*J43</f>
        <v>4.25</v>
      </c>
      <c r="M43" s="12" t="s">
        <v>68</v>
      </c>
      <c r="N43" s="11" t="s">
        <v>69</v>
      </c>
      <c r="O43" s="10">
        <v>7</v>
      </c>
      <c r="P43" s="10">
        <v>0</v>
      </c>
      <c r="Q43" s="160">
        <f t="shared" ref="Q43:Q49" si="13">O43*P43</f>
        <v>0</v>
      </c>
      <c r="S43" s="12"/>
      <c r="T43" s="11"/>
      <c r="U43" s="10"/>
      <c r="V43" s="10"/>
      <c r="W43" s="160"/>
      <c r="Y43" s="12" t="s">
        <v>68</v>
      </c>
      <c r="Z43" s="11" t="s">
        <v>151</v>
      </c>
      <c r="AA43" s="10">
        <v>4.25</v>
      </c>
      <c r="AB43" s="10">
        <v>1</v>
      </c>
      <c r="AC43" s="160">
        <f t="shared" ref="AC43:AC53" si="14">AA43*AB43</f>
        <v>4.25</v>
      </c>
      <c r="AE43" s="12" t="s">
        <v>68</v>
      </c>
      <c r="AF43" s="11"/>
      <c r="AG43" s="10"/>
      <c r="AH43" s="10"/>
      <c r="AI43" s="160">
        <f t="shared" ref="AI43:AI53" si="15">AG43*AH43</f>
        <v>0</v>
      </c>
    </row>
    <row r="44" spans="1:35" x14ac:dyDescent="0.45">
      <c r="B44" s="58" t="s">
        <v>148</v>
      </c>
      <c r="C44" s="10">
        <v>3.25</v>
      </c>
      <c r="D44" s="10">
        <v>1</v>
      </c>
      <c r="E44" s="160">
        <f t="shared" si="11"/>
        <v>3.25</v>
      </c>
      <c r="H44" s="58" t="s">
        <v>150</v>
      </c>
      <c r="I44" s="10">
        <v>5</v>
      </c>
      <c r="J44" s="10">
        <v>1</v>
      </c>
      <c r="K44" s="160">
        <f t="shared" si="12"/>
        <v>5</v>
      </c>
      <c r="M44" s="12" t="s">
        <v>70</v>
      </c>
      <c r="N44" s="11" t="s">
        <v>69</v>
      </c>
      <c r="O44" s="10">
        <v>7</v>
      </c>
      <c r="P44" s="10">
        <v>0</v>
      </c>
      <c r="Q44" s="160">
        <f t="shared" si="13"/>
        <v>0</v>
      </c>
      <c r="S44" s="12"/>
      <c r="T44" s="11"/>
      <c r="U44" s="10"/>
      <c r="V44" s="10"/>
      <c r="W44" s="160"/>
      <c r="Y44" s="12"/>
      <c r="Z44" s="1" t="s">
        <v>180</v>
      </c>
      <c r="AA44" s="10">
        <v>5.75</v>
      </c>
      <c r="AB44" s="10">
        <v>1</v>
      </c>
      <c r="AC44" s="160">
        <v>4.75</v>
      </c>
      <c r="AE44" s="12"/>
      <c r="AF44" s="1" t="s">
        <v>180</v>
      </c>
      <c r="AG44" s="10">
        <v>4.75</v>
      </c>
      <c r="AH44" s="10">
        <v>1</v>
      </c>
      <c r="AI44" s="160">
        <f t="shared" si="15"/>
        <v>4.75</v>
      </c>
    </row>
    <row r="45" spans="1:35" x14ac:dyDescent="0.45">
      <c r="A45" s="12" t="s">
        <v>70</v>
      </c>
      <c r="B45" s="11" t="s">
        <v>143</v>
      </c>
      <c r="C45" s="10">
        <v>2.25</v>
      </c>
      <c r="D45" s="10">
        <v>1</v>
      </c>
      <c r="E45" s="160">
        <f t="shared" si="11"/>
        <v>2.25</v>
      </c>
      <c r="H45" s="1" t="s">
        <v>171</v>
      </c>
      <c r="I45" s="10">
        <v>5.25</v>
      </c>
      <c r="J45" s="10">
        <v>1</v>
      </c>
      <c r="K45" s="160">
        <f t="shared" si="12"/>
        <v>5.25</v>
      </c>
      <c r="M45" s="12" t="s">
        <v>71</v>
      </c>
      <c r="N45" s="11" t="s">
        <v>69</v>
      </c>
      <c r="O45" s="10">
        <v>7</v>
      </c>
      <c r="P45" s="10">
        <v>0</v>
      </c>
      <c r="Q45" s="160">
        <f t="shared" si="13"/>
        <v>0</v>
      </c>
      <c r="S45" s="12"/>
      <c r="T45" s="11"/>
      <c r="U45" s="10"/>
      <c r="V45" s="10"/>
      <c r="W45" s="160"/>
      <c r="Y45" s="12" t="s">
        <v>70</v>
      </c>
      <c r="Z45" s="11" t="s">
        <v>151</v>
      </c>
      <c r="AA45" s="10">
        <v>4.25</v>
      </c>
      <c r="AB45" s="10">
        <v>1</v>
      </c>
      <c r="AC45" s="160">
        <f t="shared" si="14"/>
        <v>4.25</v>
      </c>
      <c r="AE45" s="12" t="s">
        <v>70</v>
      </c>
      <c r="AF45" s="11"/>
      <c r="AG45" s="10"/>
      <c r="AH45" s="10"/>
      <c r="AI45" s="160">
        <f t="shared" si="15"/>
        <v>0</v>
      </c>
    </row>
    <row r="46" spans="1:35" x14ac:dyDescent="0.45">
      <c r="B46" s="58" t="s">
        <v>148</v>
      </c>
      <c r="C46" s="10">
        <v>3.25</v>
      </c>
      <c r="D46" s="10">
        <v>1</v>
      </c>
      <c r="E46" s="160">
        <f t="shared" si="11"/>
        <v>3.25</v>
      </c>
      <c r="G46" s="12" t="s">
        <v>70</v>
      </c>
      <c r="H46" s="11" t="s">
        <v>151</v>
      </c>
      <c r="I46" s="10">
        <v>4.25</v>
      </c>
      <c r="J46" s="10">
        <v>1</v>
      </c>
      <c r="K46" s="160">
        <f t="shared" si="12"/>
        <v>4.25</v>
      </c>
      <c r="M46" s="12" t="s">
        <v>72</v>
      </c>
      <c r="N46" s="11" t="s">
        <v>69</v>
      </c>
      <c r="O46" s="10">
        <v>7</v>
      </c>
      <c r="P46" s="10">
        <v>0</v>
      </c>
      <c r="Q46" s="160">
        <f t="shared" si="13"/>
        <v>0</v>
      </c>
      <c r="S46" s="12"/>
      <c r="T46" s="11"/>
      <c r="U46" s="10"/>
      <c r="V46" s="10"/>
      <c r="W46" s="160"/>
      <c r="Y46" s="12"/>
      <c r="Z46" s="1" t="s">
        <v>180</v>
      </c>
      <c r="AA46" s="10">
        <v>5.75</v>
      </c>
      <c r="AB46" s="10">
        <v>1</v>
      </c>
      <c r="AC46" s="160">
        <v>4.75</v>
      </c>
      <c r="AE46" s="12"/>
      <c r="AF46" s="1" t="s">
        <v>180</v>
      </c>
      <c r="AG46" s="10">
        <v>4.75</v>
      </c>
      <c r="AH46" s="10">
        <v>1</v>
      </c>
      <c r="AI46" s="160">
        <f t="shared" si="15"/>
        <v>4.75</v>
      </c>
    </row>
    <row r="47" spans="1:35" x14ac:dyDescent="0.45">
      <c r="A47" s="12" t="s">
        <v>71</v>
      </c>
      <c r="B47" s="11" t="s">
        <v>143</v>
      </c>
      <c r="C47" s="10">
        <v>2.25</v>
      </c>
      <c r="D47" s="10">
        <v>1</v>
      </c>
      <c r="E47" s="160">
        <f t="shared" si="11"/>
        <v>2.25</v>
      </c>
      <c r="H47" s="58" t="s">
        <v>150</v>
      </c>
      <c r="I47" s="10">
        <v>5</v>
      </c>
      <c r="J47" s="10">
        <v>1</v>
      </c>
      <c r="K47" s="160">
        <f t="shared" si="12"/>
        <v>5</v>
      </c>
      <c r="M47" s="12" t="s">
        <v>73</v>
      </c>
      <c r="N47" s="11" t="s">
        <v>69</v>
      </c>
      <c r="O47" s="10">
        <v>7</v>
      </c>
      <c r="P47" s="10">
        <v>0</v>
      </c>
      <c r="Q47" s="160">
        <f t="shared" si="13"/>
        <v>0</v>
      </c>
      <c r="S47" s="12"/>
      <c r="T47" s="11"/>
      <c r="U47" s="10"/>
      <c r="V47" s="10"/>
      <c r="W47" s="160"/>
      <c r="Y47" s="12" t="s">
        <v>71</v>
      </c>
      <c r="Z47" s="11" t="s">
        <v>151</v>
      </c>
      <c r="AA47" s="10">
        <v>4.25</v>
      </c>
      <c r="AB47" s="10">
        <v>1</v>
      </c>
      <c r="AC47" s="160">
        <f t="shared" si="14"/>
        <v>4.25</v>
      </c>
      <c r="AE47" s="12" t="s">
        <v>71</v>
      </c>
      <c r="AF47" s="11"/>
      <c r="AG47" s="10"/>
      <c r="AH47" s="10"/>
      <c r="AI47" s="160">
        <f t="shared" si="15"/>
        <v>0</v>
      </c>
    </row>
    <row r="48" spans="1:35" x14ac:dyDescent="0.45">
      <c r="B48" s="58" t="s">
        <v>148</v>
      </c>
      <c r="C48" s="10">
        <v>3.25</v>
      </c>
      <c r="D48" s="10">
        <v>1</v>
      </c>
      <c r="E48" s="160">
        <f t="shared" si="11"/>
        <v>3.25</v>
      </c>
      <c r="H48" s="1" t="s">
        <v>171</v>
      </c>
      <c r="I48" s="10">
        <v>5.25</v>
      </c>
      <c r="J48" s="10">
        <v>1</v>
      </c>
      <c r="K48" s="160">
        <f t="shared" si="12"/>
        <v>5.25</v>
      </c>
      <c r="M48" s="12" t="s">
        <v>74</v>
      </c>
      <c r="N48" s="11" t="s">
        <v>169</v>
      </c>
      <c r="O48" s="10">
        <v>6</v>
      </c>
      <c r="P48" s="10">
        <v>0</v>
      </c>
      <c r="Q48" s="160">
        <f t="shared" si="13"/>
        <v>0</v>
      </c>
      <c r="S48" s="12"/>
      <c r="T48" s="11"/>
      <c r="U48" s="10"/>
      <c r="V48" s="10"/>
      <c r="W48" s="160"/>
      <c r="Y48" s="12"/>
      <c r="Z48" s="1" t="s">
        <v>180</v>
      </c>
      <c r="AA48" s="10">
        <v>5.75</v>
      </c>
      <c r="AB48" s="10">
        <v>1</v>
      </c>
      <c r="AC48" s="160">
        <v>4.75</v>
      </c>
      <c r="AE48" s="12"/>
      <c r="AF48" s="1" t="s">
        <v>180</v>
      </c>
      <c r="AG48" s="10">
        <v>4.75</v>
      </c>
      <c r="AH48" s="10">
        <v>1</v>
      </c>
      <c r="AI48" s="160">
        <f t="shared" si="15"/>
        <v>4.75</v>
      </c>
    </row>
    <row r="49" spans="1:35" x14ac:dyDescent="0.45">
      <c r="A49" s="12" t="s">
        <v>72</v>
      </c>
      <c r="B49" s="11" t="s">
        <v>143</v>
      </c>
      <c r="C49" s="10">
        <v>2.25</v>
      </c>
      <c r="D49" s="10">
        <v>1</v>
      </c>
      <c r="E49" s="160">
        <f t="shared" si="11"/>
        <v>2.25</v>
      </c>
      <c r="G49" s="12" t="s">
        <v>71</v>
      </c>
      <c r="H49" s="11" t="s">
        <v>151</v>
      </c>
      <c r="I49" s="10">
        <v>4.25</v>
      </c>
      <c r="J49" s="10">
        <v>1</v>
      </c>
      <c r="K49" s="160">
        <f t="shared" si="12"/>
        <v>4.25</v>
      </c>
      <c r="M49" s="12" t="s">
        <v>75</v>
      </c>
      <c r="N49" s="11" t="s">
        <v>190</v>
      </c>
      <c r="O49" s="10">
        <v>4</v>
      </c>
      <c r="P49" s="10">
        <v>0</v>
      </c>
      <c r="Q49" s="160">
        <f t="shared" si="13"/>
        <v>0</v>
      </c>
      <c r="T49" s="11"/>
      <c r="U49" s="10"/>
      <c r="V49" s="10"/>
      <c r="W49" s="160"/>
      <c r="Y49" s="12" t="s">
        <v>72</v>
      </c>
      <c r="Z49" s="11" t="s">
        <v>151</v>
      </c>
      <c r="AA49" s="10">
        <v>4.25</v>
      </c>
      <c r="AB49" s="10">
        <v>1</v>
      </c>
      <c r="AC49" s="160">
        <f t="shared" si="14"/>
        <v>4.25</v>
      </c>
      <c r="AE49" s="12" t="s">
        <v>72</v>
      </c>
      <c r="AF49" s="11"/>
      <c r="AG49" s="10"/>
      <c r="AH49" s="10"/>
      <c r="AI49" s="160">
        <f t="shared" si="15"/>
        <v>0</v>
      </c>
    </row>
    <row r="50" spans="1:35" x14ac:dyDescent="0.45">
      <c r="B50" s="58" t="s">
        <v>148</v>
      </c>
      <c r="C50" s="10">
        <v>3.25</v>
      </c>
      <c r="D50" s="10">
        <v>1</v>
      </c>
      <c r="E50" s="160">
        <f t="shared" si="11"/>
        <v>3.25</v>
      </c>
      <c r="H50" s="58" t="s">
        <v>150</v>
      </c>
      <c r="I50" s="10">
        <v>5</v>
      </c>
      <c r="J50" s="10">
        <v>1</v>
      </c>
      <c r="K50" s="160">
        <f t="shared" si="12"/>
        <v>5</v>
      </c>
      <c r="M50" s="12"/>
      <c r="N50" s="11"/>
      <c r="O50" s="10"/>
      <c r="P50" s="10"/>
      <c r="Q50" s="160"/>
      <c r="S50" s="12"/>
      <c r="T50" s="11"/>
      <c r="U50" s="10"/>
      <c r="V50" s="10"/>
      <c r="W50" s="160"/>
      <c r="Y50" s="12"/>
      <c r="Z50" s="1" t="s">
        <v>180</v>
      </c>
      <c r="AA50" s="10">
        <v>5.75</v>
      </c>
      <c r="AB50" s="10">
        <v>1</v>
      </c>
      <c r="AC50" s="160">
        <v>4.75</v>
      </c>
      <c r="AE50" s="12"/>
      <c r="AF50" s="1" t="s">
        <v>180</v>
      </c>
      <c r="AG50" s="10">
        <v>4.75</v>
      </c>
      <c r="AH50" s="10">
        <v>1</v>
      </c>
      <c r="AI50" s="160">
        <f t="shared" si="15"/>
        <v>4.75</v>
      </c>
    </row>
    <row r="51" spans="1:35" x14ac:dyDescent="0.45">
      <c r="A51" s="12" t="s">
        <v>73</v>
      </c>
      <c r="B51" s="11" t="s">
        <v>143</v>
      </c>
      <c r="C51" s="10">
        <v>2.25</v>
      </c>
      <c r="D51" s="10">
        <v>1</v>
      </c>
      <c r="E51" s="160">
        <f t="shared" si="11"/>
        <v>2.25</v>
      </c>
      <c r="H51" s="1" t="s">
        <v>171</v>
      </c>
      <c r="I51" s="10">
        <v>5.25</v>
      </c>
      <c r="J51" s="10">
        <v>1</v>
      </c>
      <c r="K51" s="160">
        <f t="shared" si="12"/>
        <v>5.25</v>
      </c>
      <c r="N51" s="11"/>
      <c r="O51" s="10"/>
      <c r="P51" s="10"/>
      <c r="Q51" s="159"/>
      <c r="T51" s="11"/>
      <c r="U51" s="10"/>
      <c r="V51" s="10"/>
      <c r="W51" s="159"/>
      <c r="Y51" s="12" t="s">
        <v>73</v>
      </c>
      <c r="Z51" s="11" t="s">
        <v>151</v>
      </c>
      <c r="AA51" s="10">
        <v>4.25</v>
      </c>
      <c r="AB51" s="10">
        <v>1</v>
      </c>
      <c r="AC51" s="160">
        <f t="shared" si="14"/>
        <v>4.25</v>
      </c>
      <c r="AE51" s="12" t="s">
        <v>73</v>
      </c>
      <c r="AF51" s="11"/>
      <c r="AG51" s="10"/>
      <c r="AH51" s="10"/>
      <c r="AI51" s="160">
        <f t="shared" si="15"/>
        <v>0</v>
      </c>
    </row>
    <row r="52" spans="1:35" x14ac:dyDescent="0.45">
      <c r="B52" s="58"/>
      <c r="C52" s="10"/>
      <c r="D52" s="10"/>
      <c r="E52" s="160">
        <f t="shared" si="11"/>
        <v>0</v>
      </c>
      <c r="G52" s="12" t="s">
        <v>72</v>
      </c>
      <c r="H52" s="11" t="s">
        <v>151</v>
      </c>
      <c r="I52" s="10">
        <v>4.25</v>
      </c>
      <c r="J52" s="10">
        <v>1</v>
      </c>
      <c r="K52" s="160">
        <f t="shared" si="12"/>
        <v>4.25</v>
      </c>
      <c r="Q52" s="158"/>
      <c r="W52" s="158"/>
      <c r="Y52" s="12"/>
      <c r="Z52" s="1" t="s">
        <v>156</v>
      </c>
      <c r="AA52" s="10">
        <v>2.75</v>
      </c>
      <c r="AB52" s="10">
        <v>1</v>
      </c>
      <c r="AC52" s="160">
        <f t="shared" si="14"/>
        <v>2.75</v>
      </c>
      <c r="AE52" s="12"/>
      <c r="AF52" s="1" t="s">
        <v>156</v>
      </c>
      <c r="AG52" s="10">
        <v>2.75</v>
      </c>
      <c r="AH52" s="10">
        <v>1</v>
      </c>
      <c r="AI52" s="160">
        <f t="shared" si="15"/>
        <v>2.75</v>
      </c>
    </row>
    <row r="53" spans="1:35" x14ac:dyDescent="0.45">
      <c r="A53" s="12" t="s">
        <v>74</v>
      </c>
      <c r="B53" s="58" t="s">
        <v>149</v>
      </c>
      <c r="C53" s="10">
        <v>8.5</v>
      </c>
      <c r="D53" s="10">
        <v>1</v>
      </c>
      <c r="E53" s="160">
        <f t="shared" si="11"/>
        <v>8.5</v>
      </c>
      <c r="H53" s="58" t="s">
        <v>150</v>
      </c>
      <c r="I53" s="10">
        <v>5</v>
      </c>
      <c r="J53" s="10">
        <v>1</v>
      </c>
      <c r="K53" s="160">
        <f t="shared" si="12"/>
        <v>5</v>
      </c>
      <c r="Q53" s="158"/>
      <c r="W53" s="158"/>
      <c r="Y53" s="12" t="s">
        <v>74</v>
      </c>
      <c r="Z53" s="11" t="s">
        <v>169</v>
      </c>
      <c r="AA53" s="10">
        <v>6</v>
      </c>
      <c r="AB53" s="10">
        <v>1</v>
      </c>
      <c r="AC53" s="160">
        <f t="shared" si="14"/>
        <v>6</v>
      </c>
      <c r="AE53" s="12" t="s">
        <v>74</v>
      </c>
      <c r="AF53" s="11" t="s">
        <v>181</v>
      </c>
      <c r="AG53" s="10">
        <v>8</v>
      </c>
      <c r="AH53" s="10">
        <v>1</v>
      </c>
      <c r="AI53" s="160">
        <f t="shared" si="15"/>
        <v>8</v>
      </c>
    </row>
    <row r="54" spans="1:35" x14ac:dyDescent="0.45">
      <c r="A54" s="12" t="s">
        <v>75</v>
      </c>
      <c r="B54" s="58" t="s">
        <v>147</v>
      </c>
      <c r="C54" s="10">
        <v>6.25</v>
      </c>
      <c r="D54" s="10">
        <v>1</v>
      </c>
      <c r="E54" s="160">
        <f t="shared" si="11"/>
        <v>6.25</v>
      </c>
      <c r="H54" s="1" t="s">
        <v>171</v>
      </c>
      <c r="I54" s="10">
        <v>5.25</v>
      </c>
      <c r="J54" s="10">
        <v>1</v>
      </c>
      <c r="K54" s="160">
        <f t="shared" si="12"/>
        <v>5.25</v>
      </c>
      <c r="Q54" s="158"/>
      <c r="W54" s="158"/>
      <c r="Y54" s="12"/>
      <c r="Z54" s="11"/>
      <c r="AA54" s="10"/>
      <c r="AB54" s="10"/>
      <c r="AC54" s="160"/>
      <c r="AE54" s="12"/>
      <c r="AF54" s="11"/>
      <c r="AG54" s="10"/>
      <c r="AH54" s="10"/>
      <c r="AI54" s="160"/>
    </row>
    <row r="55" spans="1:35" x14ac:dyDescent="0.45">
      <c r="E55" s="159"/>
      <c r="G55" s="12" t="s">
        <v>73</v>
      </c>
      <c r="H55" s="11" t="s">
        <v>151</v>
      </c>
      <c r="I55" s="10">
        <v>4.25</v>
      </c>
      <c r="J55" s="10">
        <v>1</v>
      </c>
      <c r="K55" s="160">
        <f t="shared" si="12"/>
        <v>4.25</v>
      </c>
      <c r="Q55" s="158"/>
      <c r="W55" s="158"/>
      <c r="Y55" s="12" t="s">
        <v>75</v>
      </c>
      <c r="Z55" s="11" t="s">
        <v>170</v>
      </c>
      <c r="AA55" s="10">
        <v>4</v>
      </c>
      <c r="AB55" s="10">
        <v>1</v>
      </c>
      <c r="AC55" s="160">
        <f t="shared" ref="AC55" si="16">AA55*AB55</f>
        <v>4</v>
      </c>
      <c r="AE55" s="12" t="s">
        <v>75</v>
      </c>
      <c r="AF55" s="11" t="s">
        <v>182</v>
      </c>
      <c r="AG55" s="10">
        <v>6</v>
      </c>
      <c r="AH55" s="10">
        <v>1</v>
      </c>
      <c r="AI55" s="160">
        <f t="shared" ref="AI55" si="17">AG55*AH55</f>
        <v>6</v>
      </c>
    </row>
    <row r="56" spans="1:35" x14ac:dyDescent="0.45">
      <c r="E56" s="159"/>
      <c r="H56" s="58" t="s">
        <v>150</v>
      </c>
      <c r="I56" s="10">
        <v>5</v>
      </c>
      <c r="J56" s="10">
        <v>1</v>
      </c>
      <c r="K56" s="160">
        <f t="shared" si="12"/>
        <v>5</v>
      </c>
      <c r="Q56" s="158"/>
      <c r="W56" s="158"/>
      <c r="AC56" s="158"/>
    </row>
    <row r="57" spans="1:35" x14ac:dyDescent="0.45">
      <c r="E57" s="159"/>
      <c r="H57" s="1" t="s">
        <v>153</v>
      </c>
      <c r="I57" s="10">
        <v>3.25</v>
      </c>
      <c r="J57" s="10">
        <v>1</v>
      </c>
      <c r="K57" s="160">
        <f t="shared" si="12"/>
        <v>3.25</v>
      </c>
      <c r="Q57" s="158"/>
      <c r="W57" s="158"/>
      <c r="AC57" s="158"/>
    </row>
    <row r="58" spans="1:35" x14ac:dyDescent="0.45">
      <c r="E58" s="159"/>
      <c r="G58" s="12" t="s">
        <v>74</v>
      </c>
      <c r="H58" s="11" t="s">
        <v>173</v>
      </c>
      <c r="I58" s="10">
        <v>2.25</v>
      </c>
      <c r="J58" s="10">
        <v>1</v>
      </c>
      <c r="K58" s="160">
        <f t="shared" si="12"/>
        <v>2.25</v>
      </c>
      <c r="Q58" s="158"/>
      <c r="W58" s="158"/>
      <c r="AC58" s="158"/>
    </row>
    <row r="59" spans="1:35" x14ac:dyDescent="0.45">
      <c r="E59" s="159"/>
      <c r="H59" s="58" t="s">
        <v>174</v>
      </c>
      <c r="I59" s="10">
        <v>6.25</v>
      </c>
      <c r="J59" s="10">
        <v>1</v>
      </c>
      <c r="K59" s="160">
        <f t="shared" si="12"/>
        <v>6.25</v>
      </c>
      <c r="N59" s="11"/>
      <c r="Q59" s="159"/>
      <c r="T59" s="11"/>
      <c r="W59" s="159"/>
      <c r="AC59" s="158"/>
    </row>
    <row r="60" spans="1:35" x14ac:dyDescent="0.45">
      <c r="E60" s="159"/>
      <c r="I60" s="10"/>
      <c r="J60" s="10"/>
      <c r="K60" s="160">
        <f t="shared" si="12"/>
        <v>0</v>
      </c>
      <c r="N60" s="11"/>
      <c r="Q60" s="159"/>
      <c r="T60" s="11"/>
      <c r="W60" s="159"/>
      <c r="AC60" s="158"/>
    </row>
    <row r="61" spans="1:35" x14ac:dyDescent="0.45">
      <c r="E61" s="159"/>
      <c r="G61" s="12" t="s">
        <v>75</v>
      </c>
      <c r="H61" s="58" t="s">
        <v>154</v>
      </c>
      <c r="I61" s="10">
        <v>6.25</v>
      </c>
      <c r="J61" s="10">
        <v>1</v>
      </c>
      <c r="K61" s="160">
        <f t="shared" si="12"/>
        <v>6.25</v>
      </c>
      <c r="N61" s="11"/>
      <c r="Q61" s="159"/>
      <c r="T61" s="11"/>
      <c r="W61" s="159"/>
      <c r="AC61" s="158"/>
    </row>
    <row r="62" spans="1:35" x14ac:dyDescent="0.45">
      <c r="E62" s="159"/>
      <c r="H62" s="11"/>
      <c r="I62" s="10"/>
      <c r="J62" s="10"/>
      <c r="K62" s="160">
        <f t="shared" si="12"/>
        <v>0</v>
      </c>
      <c r="N62" s="11"/>
      <c r="Q62" s="159"/>
      <c r="T62" s="11"/>
      <c r="W62" s="159"/>
      <c r="AC62" s="158"/>
    </row>
    <row r="63" spans="1:35" x14ac:dyDescent="0.45">
      <c r="E63" s="159"/>
      <c r="K63" s="158"/>
      <c r="N63" s="11"/>
      <c r="Q63" s="159"/>
      <c r="T63" s="11"/>
      <c r="W63" s="159"/>
      <c r="AC63" s="158"/>
    </row>
    <row r="64" spans="1:35" x14ac:dyDescent="0.45">
      <c r="E64" s="159"/>
      <c r="K64" s="158"/>
      <c r="N64" s="11"/>
      <c r="Q64" s="159"/>
      <c r="T64" s="11"/>
      <c r="W64" s="159"/>
      <c r="AC64" s="158"/>
    </row>
    <row r="65" spans="5:35" x14ac:dyDescent="0.45">
      <c r="E65" s="138">
        <f>SUM(E43:E63)</f>
        <v>39</v>
      </c>
      <c r="K65" s="138">
        <f>SUM(K43:K63)</f>
        <v>85.25</v>
      </c>
      <c r="N65" s="11"/>
      <c r="Q65" s="138">
        <f>SUM(Q43:Q63)</f>
        <v>0</v>
      </c>
      <c r="T65" s="11"/>
      <c r="W65" s="138">
        <f>SUM(W43:W63)</f>
        <v>0</v>
      </c>
      <c r="AC65" s="138">
        <f>SUM(AC43:AC63)</f>
        <v>53</v>
      </c>
      <c r="AI65" s="138">
        <f>SUM(AI43:AI64)</f>
        <v>35.75</v>
      </c>
    </row>
  </sheetData>
  <pageMargins left="0.7" right="0.7" top="0.75" bottom="0.75" header="0.3" footer="0.3"/>
  <pageSetup scale="60" fitToWidth="5" orientation="portrait" horizontalDpi="1200" verticalDpi="1200" r:id="rId1"/>
  <headerFooter>
    <oddHeader>&amp;LOption 1 Part-Time Staff Detail&amp;R&amp;P</oddHeader>
    <oddFooter>&amp;LBallard*King &amp; Associates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44"/>
  <sheetViews>
    <sheetView zoomScaleNormal="100" workbookViewId="0">
      <selection activeCell="P32" sqref="P32"/>
    </sheetView>
  </sheetViews>
  <sheetFormatPr defaultRowHeight="15.4" x14ac:dyDescent="0.45"/>
  <cols>
    <col min="1" max="1" width="17" style="1" bestFit="1" customWidth="1"/>
    <col min="2" max="2" width="11" style="1" customWidth="1"/>
    <col min="3" max="3" width="14.3984375" style="20" customWidth="1"/>
    <col min="4" max="4" width="11" style="10" bestFit="1" customWidth="1"/>
    <col min="5" max="5" width="14.59765625" style="6" customWidth="1"/>
    <col min="6" max="6" width="4.59765625" style="6" customWidth="1"/>
    <col min="7" max="7" width="15.59765625" style="1" bestFit="1" customWidth="1"/>
    <col min="8" max="8" width="11.59765625" style="1" customWidth="1"/>
    <col min="9" max="10" width="11" style="1" bestFit="1" customWidth="1"/>
    <col min="11" max="11" width="14.59765625" style="1" customWidth="1"/>
    <col min="12" max="12" width="10.265625" style="1" customWidth="1"/>
    <col min="13" max="13" width="15.265625" style="1" bestFit="1" customWidth="1"/>
    <col min="14" max="15" width="9" style="1"/>
    <col min="16" max="16" width="10.59765625" style="1" bestFit="1" customWidth="1"/>
    <col min="17" max="17" width="9" style="1"/>
    <col min="18" max="18" width="9.06640625" style="1"/>
    <col min="19" max="19" width="29.1328125" style="1" bestFit="1" customWidth="1"/>
    <col min="20" max="21" width="12.59765625" style="1" customWidth="1"/>
    <col min="22" max="22" width="6.3984375" style="1" bestFit="1" customWidth="1"/>
    <col min="23" max="23" width="12.59765625" style="1" customWidth="1"/>
    <col min="24" max="24" width="6.3984375" style="1" bestFit="1" customWidth="1"/>
    <col min="25" max="16384" width="9.06640625" style="1"/>
  </cols>
  <sheetData>
    <row r="1" spans="1:25" x14ac:dyDescent="0.45">
      <c r="A1" s="172"/>
      <c r="B1" s="172"/>
      <c r="C1" s="173"/>
      <c r="D1" s="173"/>
      <c r="E1" s="173"/>
      <c r="F1" s="173"/>
    </row>
    <row r="2" spans="1:25" x14ac:dyDescent="0.45">
      <c r="A2" s="5" t="s">
        <v>187</v>
      </c>
      <c r="B2" s="5"/>
      <c r="C2" s="1"/>
      <c r="D2" s="1"/>
      <c r="E2" s="1"/>
      <c r="F2" s="1"/>
      <c r="G2" s="5" t="s">
        <v>188</v>
      </c>
    </row>
    <row r="3" spans="1:25" ht="15.75" thickBot="1" x14ac:dyDescent="0.5">
      <c r="I3" s="20"/>
      <c r="J3" s="10"/>
      <c r="K3" s="6"/>
      <c r="N3" s="16" t="s">
        <v>119</v>
      </c>
      <c r="O3" s="10"/>
      <c r="P3" s="16" t="s">
        <v>120</v>
      </c>
      <c r="U3" s="1" t="s">
        <v>191</v>
      </c>
      <c r="W3" s="1" t="s">
        <v>193</v>
      </c>
    </row>
    <row r="4" spans="1:25" ht="15.75" thickBot="1" x14ac:dyDescent="0.5">
      <c r="A4" s="21" t="s">
        <v>186</v>
      </c>
      <c r="B4" s="23" t="s">
        <v>197</v>
      </c>
      <c r="C4" s="22" t="s">
        <v>46</v>
      </c>
      <c r="D4" s="23" t="s">
        <v>78</v>
      </c>
      <c r="E4" s="24" t="s">
        <v>6</v>
      </c>
      <c r="G4" s="21" t="s">
        <v>186</v>
      </c>
      <c r="H4" s="23" t="s">
        <v>197</v>
      </c>
      <c r="I4" s="22" t="s">
        <v>46</v>
      </c>
      <c r="J4" s="23" t="s">
        <v>78</v>
      </c>
      <c r="K4" s="24" t="s">
        <v>6</v>
      </c>
      <c r="N4" s="16" t="s">
        <v>79</v>
      </c>
      <c r="O4" s="10"/>
      <c r="P4" s="16" t="s">
        <v>79</v>
      </c>
    </row>
    <row r="5" spans="1:25" ht="15.75" thickTop="1" x14ac:dyDescent="0.45">
      <c r="A5" s="25" t="s">
        <v>80</v>
      </c>
      <c r="B5" s="20">
        <v>20</v>
      </c>
      <c r="C5" s="20">
        <f>B5*12</f>
        <v>240</v>
      </c>
      <c r="D5" s="10">
        <v>30</v>
      </c>
      <c r="E5" s="63">
        <f>C5*D5</f>
        <v>7200</v>
      </c>
      <c r="G5" s="25" t="s">
        <v>80</v>
      </c>
      <c r="H5" s="6">
        <f>B5*1.5</f>
        <v>30</v>
      </c>
      <c r="I5" s="20">
        <f>C5*1.5</f>
        <v>360</v>
      </c>
      <c r="J5" s="10">
        <f>D5*0.3</f>
        <v>9</v>
      </c>
      <c r="K5" s="63">
        <f>I5*J5</f>
        <v>3240</v>
      </c>
      <c r="L5" s="6"/>
      <c r="N5" s="13">
        <v>2889</v>
      </c>
      <c r="O5" s="97"/>
      <c r="P5" s="13">
        <v>22867</v>
      </c>
      <c r="Q5" s="97"/>
      <c r="S5" s="6"/>
      <c r="T5" s="1" t="s">
        <v>80</v>
      </c>
      <c r="U5" s="166">
        <v>20</v>
      </c>
      <c r="W5" s="166"/>
    </row>
    <row r="6" spans="1:25" x14ac:dyDescent="0.45">
      <c r="A6" s="25" t="s">
        <v>81</v>
      </c>
      <c r="B6" s="20">
        <v>40</v>
      </c>
      <c r="C6" s="20">
        <f>B6*12</f>
        <v>480</v>
      </c>
      <c r="D6" s="10">
        <v>60</v>
      </c>
      <c r="E6" s="63">
        <f>C6*D6</f>
        <v>28800</v>
      </c>
      <c r="G6" s="25" t="s">
        <v>81</v>
      </c>
      <c r="H6" s="6">
        <f t="shared" ref="H6:H9" si="0">B6*1.5</f>
        <v>60</v>
      </c>
      <c r="I6" s="20">
        <f>C6*1.5</f>
        <v>720</v>
      </c>
      <c r="J6" s="10">
        <f>D6*0.3</f>
        <v>18</v>
      </c>
      <c r="K6" s="63">
        <f>I6*J6</f>
        <v>12960</v>
      </c>
      <c r="L6" s="6"/>
      <c r="N6" s="13"/>
      <c r="O6" s="13"/>
      <c r="S6" s="6"/>
      <c r="T6" s="1" t="s">
        <v>81</v>
      </c>
      <c r="U6" s="166">
        <v>45</v>
      </c>
      <c r="W6" s="166">
        <v>36</v>
      </c>
    </row>
    <row r="7" spans="1:25" x14ac:dyDescent="0.45">
      <c r="A7" s="25" t="s">
        <v>82</v>
      </c>
      <c r="B7" s="20">
        <v>60</v>
      </c>
      <c r="C7" s="20">
        <f t="shared" ref="C7:C9" si="1">B7*12</f>
        <v>720</v>
      </c>
      <c r="D7" s="10">
        <v>120</v>
      </c>
      <c r="E7" s="63">
        <f>C7*D7</f>
        <v>86400</v>
      </c>
      <c r="G7" s="25" t="s">
        <v>82</v>
      </c>
      <c r="H7" s="6">
        <f t="shared" si="0"/>
        <v>90</v>
      </c>
      <c r="I7" s="20">
        <f>C7*1.5</f>
        <v>1080</v>
      </c>
      <c r="J7" s="10">
        <f>D7*0.3</f>
        <v>36</v>
      </c>
      <c r="K7" s="63">
        <f>I7*J7</f>
        <v>38880</v>
      </c>
      <c r="L7" s="6"/>
      <c r="M7" s="1" t="s">
        <v>83</v>
      </c>
      <c r="N7" s="13">
        <v>7153</v>
      </c>
      <c r="O7" s="13"/>
      <c r="P7" s="13">
        <v>58954</v>
      </c>
      <c r="S7" s="6"/>
      <c r="T7" s="1" t="s">
        <v>82</v>
      </c>
      <c r="U7" s="166">
        <v>66</v>
      </c>
      <c r="W7" s="166">
        <v>54</v>
      </c>
    </row>
    <row r="8" spans="1:25" x14ac:dyDescent="0.45">
      <c r="A8" s="25" t="s">
        <v>196</v>
      </c>
      <c r="B8" s="20">
        <v>20</v>
      </c>
      <c r="C8" s="20">
        <f t="shared" ref="C8" si="2">B8*12</f>
        <v>240</v>
      </c>
      <c r="D8" s="10">
        <v>20</v>
      </c>
      <c r="E8" s="63">
        <f>C8*D8</f>
        <v>4800</v>
      </c>
      <c r="G8" s="25" t="s">
        <v>196</v>
      </c>
      <c r="H8" s="6">
        <f t="shared" ref="H8" si="3">B8*1.5</f>
        <v>30</v>
      </c>
      <c r="I8" s="20">
        <f>C8*1.5</f>
        <v>360</v>
      </c>
      <c r="J8" s="10">
        <f>D8*0.3</f>
        <v>6</v>
      </c>
      <c r="K8" s="63">
        <f>I8*J8</f>
        <v>2160</v>
      </c>
      <c r="L8" s="6"/>
      <c r="N8" s="13"/>
      <c r="O8" s="13"/>
      <c r="P8" s="13"/>
      <c r="S8" s="6"/>
      <c r="U8" s="166"/>
      <c r="W8" s="166"/>
    </row>
    <row r="9" spans="1:25" x14ac:dyDescent="0.45">
      <c r="A9" s="25" t="s">
        <v>244</v>
      </c>
      <c r="B9" s="20">
        <v>30</v>
      </c>
      <c r="C9" s="20">
        <f t="shared" si="1"/>
        <v>360</v>
      </c>
      <c r="D9" s="10">
        <v>10</v>
      </c>
      <c r="E9" s="63">
        <f>C9*D9</f>
        <v>3600</v>
      </c>
      <c r="G9" s="25" t="s">
        <v>244</v>
      </c>
      <c r="H9" s="6">
        <f t="shared" si="0"/>
        <v>45</v>
      </c>
      <c r="I9" s="20">
        <f>C9*1.5</f>
        <v>540</v>
      </c>
      <c r="J9" s="10">
        <f>D9*0.3</f>
        <v>3</v>
      </c>
      <c r="K9" s="63">
        <f>I9*J9</f>
        <v>1620</v>
      </c>
      <c r="L9" s="6"/>
      <c r="M9" s="12"/>
      <c r="S9" s="6"/>
      <c r="T9" s="1" t="s">
        <v>84</v>
      </c>
      <c r="U9" s="166">
        <v>30</v>
      </c>
      <c r="W9" s="166">
        <v>21</v>
      </c>
    </row>
    <row r="10" spans="1:25" x14ac:dyDescent="0.45">
      <c r="A10" s="25"/>
      <c r="E10" s="26"/>
      <c r="G10" s="25"/>
      <c r="I10" s="20"/>
      <c r="J10" s="10"/>
      <c r="K10" s="26"/>
    </row>
    <row r="11" spans="1:25" x14ac:dyDescent="0.45">
      <c r="A11" s="25" t="s">
        <v>14</v>
      </c>
      <c r="D11" s="62">
        <f>SUM(D5:D10)</f>
        <v>240</v>
      </c>
      <c r="E11" s="63">
        <f>SUM(E5:E9)</f>
        <v>130800</v>
      </c>
      <c r="G11" s="25" t="s">
        <v>14</v>
      </c>
      <c r="I11" s="20"/>
      <c r="J11" s="62">
        <f>SUM(J5:J10)</f>
        <v>72</v>
      </c>
      <c r="K11" s="63">
        <f>SUM(K5:K9)</f>
        <v>58860</v>
      </c>
      <c r="T11" s="1" t="s">
        <v>194</v>
      </c>
      <c r="U11" s="166">
        <v>6</v>
      </c>
    </row>
    <row r="12" spans="1:25" x14ac:dyDescent="0.45">
      <c r="A12" s="25"/>
      <c r="E12" s="27"/>
      <c r="F12" s="13"/>
      <c r="G12" s="25"/>
      <c r="I12" s="20"/>
      <c r="J12" s="10"/>
      <c r="K12" s="27"/>
      <c r="M12" s="12"/>
      <c r="N12" s="55" t="s">
        <v>76</v>
      </c>
      <c r="P12" s="1" t="s">
        <v>77</v>
      </c>
      <c r="T12" s="96" t="s">
        <v>195</v>
      </c>
      <c r="U12" s="166">
        <v>12</v>
      </c>
      <c r="V12" s="96"/>
      <c r="W12" s="166">
        <v>10</v>
      </c>
      <c r="X12" s="96"/>
      <c r="Y12" s="96"/>
    </row>
    <row r="13" spans="1:25" ht="15.75" thickBot="1" x14ac:dyDescent="0.5">
      <c r="A13" s="28" t="s">
        <v>45</v>
      </c>
      <c r="B13" s="98"/>
      <c r="C13" s="29"/>
      <c r="D13" s="30"/>
      <c r="E13" s="64">
        <f>SUM(E11:E12)</f>
        <v>130800</v>
      </c>
      <c r="G13" s="28" t="s">
        <v>45</v>
      </c>
      <c r="H13" s="98"/>
      <c r="I13" s="29"/>
      <c r="J13" s="30"/>
      <c r="K13" s="64">
        <f>SUM(K11:K12)</f>
        <v>58860</v>
      </c>
      <c r="N13" s="13"/>
      <c r="P13" s="13"/>
      <c r="R13" s="55" t="s">
        <v>85</v>
      </c>
      <c r="S13" s="55"/>
      <c r="T13" s="96"/>
      <c r="U13" s="96"/>
      <c r="V13" s="96"/>
      <c r="W13" s="161"/>
      <c r="X13" s="96"/>
      <c r="Y13" s="96"/>
    </row>
    <row r="14" spans="1:25" x14ac:dyDescent="0.45">
      <c r="I14" s="20"/>
      <c r="J14" s="10"/>
      <c r="K14" s="6"/>
      <c r="M14" s="1" t="s">
        <v>80</v>
      </c>
      <c r="N14" s="162">
        <f>D5</f>
        <v>30</v>
      </c>
      <c r="O14" s="55"/>
      <c r="P14" s="162">
        <f>J5</f>
        <v>9</v>
      </c>
      <c r="R14" s="162">
        <f>(N14+P14)*2*50</f>
        <v>3900</v>
      </c>
      <c r="S14" s="55" t="s">
        <v>198</v>
      </c>
      <c r="T14" s="96"/>
      <c r="U14" s="96"/>
      <c r="V14" s="96"/>
      <c r="W14" s="161"/>
      <c r="X14" s="96"/>
      <c r="Y14" s="96"/>
    </row>
    <row r="15" spans="1:25" ht="15.75" thickBot="1" x14ac:dyDescent="0.5">
      <c r="M15" s="1" t="s">
        <v>81</v>
      </c>
      <c r="N15" s="162">
        <f>D6</f>
        <v>60</v>
      </c>
      <c r="O15" s="13"/>
      <c r="P15" s="162">
        <f>J6</f>
        <v>18</v>
      </c>
      <c r="R15" s="162">
        <f t="shared" ref="R15:R17" si="4">(N15+P15)*2*50</f>
        <v>7800</v>
      </c>
      <c r="S15" s="55" t="s">
        <v>198</v>
      </c>
      <c r="T15" s="96"/>
      <c r="U15" s="96"/>
      <c r="V15" s="96"/>
      <c r="W15" s="161"/>
      <c r="X15" s="96"/>
      <c r="Y15" s="96"/>
    </row>
    <row r="16" spans="1:25" ht="15.75" thickBot="1" x14ac:dyDescent="0.5">
      <c r="A16" s="21" t="s">
        <v>86</v>
      </c>
      <c r="B16" s="139"/>
      <c r="C16" s="22" t="s">
        <v>46</v>
      </c>
      <c r="D16" s="23" t="s">
        <v>78</v>
      </c>
      <c r="E16" s="24" t="s">
        <v>6</v>
      </c>
      <c r="G16" s="21" t="s">
        <v>87</v>
      </c>
      <c r="H16" s="139"/>
      <c r="I16" s="22" t="s">
        <v>46</v>
      </c>
      <c r="J16" s="23" t="s">
        <v>78</v>
      </c>
      <c r="K16" s="24" t="s">
        <v>6</v>
      </c>
      <c r="M16" s="11" t="s">
        <v>82</v>
      </c>
      <c r="N16" s="162">
        <f>D7*3</f>
        <v>360</v>
      </c>
      <c r="P16" s="162">
        <f>J7*3</f>
        <v>108</v>
      </c>
      <c r="R16" s="162">
        <f t="shared" si="4"/>
        <v>46800</v>
      </c>
      <c r="S16" s="55" t="s">
        <v>198</v>
      </c>
      <c r="T16" s="96"/>
      <c r="U16" s="96"/>
      <c r="V16" s="96"/>
      <c r="W16" s="161"/>
      <c r="X16" s="96"/>
      <c r="Y16" s="96"/>
    </row>
    <row r="17" spans="1:25" ht="15.75" thickTop="1" x14ac:dyDescent="0.45">
      <c r="A17" s="25" t="s">
        <v>88</v>
      </c>
      <c r="C17" s="20">
        <v>0</v>
      </c>
      <c r="D17" s="10">
        <v>0</v>
      </c>
      <c r="E17" s="63">
        <f>C17*D17</f>
        <v>0</v>
      </c>
      <c r="G17" s="25" t="s">
        <v>88</v>
      </c>
      <c r="I17" s="20">
        <v>0</v>
      </c>
      <c r="J17" s="10">
        <v>0</v>
      </c>
      <c r="K17" s="63">
        <f>I17*J17</f>
        <v>0</v>
      </c>
      <c r="M17" s="11" t="s">
        <v>84</v>
      </c>
      <c r="N17" s="162">
        <f>D8</f>
        <v>20</v>
      </c>
      <c r="P17" s="162">
        <f>J8</f>
        <v>6</v>
      </c>
      <c r="Q17" s="97"/>
      <c r="R17" s="162">
        <f t="shared" si="4"/>
        <v>2600</v>
      </c>
      <c r="S17" s="55" t="s">
        <v>198</v>
      </c>
      <c r="T17" s="96"/>
      <c r="U17" s="96"/>
      <c r="V17" s="96"/>
      <c r="W17" s="161"/>
      <c r="X17" s="163"/>
      <c r="Y17" s="96"/>
    </row>
    <row r="18" spans="1:25" x14ac:dyDescent="0.45">
      <c r="A18" s="25" t="s">
        <v>89</v>
      </c>
      <c r="C18" s="20">
        <v>48</v>
      </c>
      <c r="D18" s="10">
        <v>2</v>
      </c>
      <c r="E18" s="63">
        <f>C18*D18</f>
        <v>96</v>
      </c>
      <c r="G18" s="25" t="s">
        <v>89</v>
      </c>
      <c r="I18" s="20">
        <v>48</v>
      </c>
      <c r="J18" s="10">
        <v>2</v>
      </c>
      <c r="K18" s="63">
        <f>I18*J18</f>
        <v>96</v>
      </c>
      <c r="M18" s="11" t="s">
        <v>244</v>
      </c>
      <c r="N18" s="162">
        <f>D9*2</f>
        <v>20</v>
      </c>
      <c r="P18" s="162">
        <f>J9*2</f>
        <v>6</v>
      </c>
      <c r="R18" s="162">
        <f t="shared" ref="R18" si="5">(N18+P18)*2*50</f>
        <v>2600</v>
      </c>
      <c r="S18" s="55" t="s">
        <v>245</v>
      </c>
    </row>
    <row r="19" spans="1:25" x14ac:dyDescent="0.45">
      <c r="A19" s="25" t="s">
        <v>81</v>
      </c>
      <c r="C19" s="20">
        <v>80</v>
      </c>
      <c r="D19" s="10">
        <v>5</v>
      </c>
      <c r="E19" s="63">
        <f>C19*D19</f>
        <v>400</v>
      </c>
      <c r="G19" s="25" t="s">
        <v>81</v>
      </c>
      <c r="I19" s="20">
        <v>80</v>
      </c>
      <c r="J19" s="10">
        <v>4</v>
      </c>
      <c r="K19" s="63">
        <f>I19*J19</f>
        <v>320</v>
      </c>
      <c r="M19" s="11" t="s">
        <v>90</v>
      </c>
      <c r="N19" s="162">
        <f>((D22*E23)*10)</f>
        <v>1080</v>
      </c>
      <c r="P19" s="162">
        <f>((J22*K23)*10)</f>
        <v>960</v>
      </c>
      <c r="R19" s="162">
        <f>(N19+P19)</f>
        <v>2040</v>
      </c>
      <c r="T19" s="163"/>
    </row>
    <row r="20" spans="1:25" x14ac:dyDescent="0.45">
      <c r="A20" s="25" t="s">
        <v>196</v>
      </c>
      <c r="C20" s="20">
        <v>48</v>
      </c>
      <c r="D20" s="10">
        <v>2</v>
      </c>
      <c r="E20" s="63">
        <f>C20*D20</f>
        <v>96</v>
      </c>
      <c r="G20" s="25" t="s">
        <v>196</v>
      </c>
      <c r="I20" s="20">
        <v>48</v>
      </c>
      <c r="J20" s="10">
        <v>2</v>
      </c>
      <c r="K20" s="63">
        <f>I20*J20</f>
        <v>96</v>
      </c>
      <c r="M20" s="11" t="s">
        <v>91</v>
      </c>
      <c r="N20" s="162">
        <f>D33*E34</f>
        <v>4200</v>
      </c>
      <c r="P20" s="162">
        <f>J33*K34</f>
        <v>492</v>
      </c>
      <c r="R20" s="162">
        <f>(N20+P20)</f>
        <v>4692</v>
      </c>
      <c r="S20" s="55"/>
      <c r="T20" s="163"/>
    </row>
    <row r="21" spans="1:25" x14ac:dyDescent="0.45">
      <c r="A21" s="25"/>
      <c r="E21" s="26"/>
      <c r="G21" s="25"/>
      <c r="I21" s="20"/>
      <c r="J21" s="10"/>
      <c r="K21" s="26"/>
      <c r="M21" s="11"/>
      <c r="N21" s="59"/>
      <c r="O21" s="10"/>
      <c r="P21" s="13"/>
      <c r="R21" s="13">
        <f>SUM(R14:R20)</f>
        <v>70432</v>
      </c>
      <c r="S21" s="55" t="s">
        <v>92</v>
      </c>
      <c r="T21" s="163"/>
    </row>
    <row r="22" spans="1:25" x14ac:dyDescent="0.45">
      <c r="A22" s="25" t="s">
        <v>14</v>
      </c>
      <c r="D22" s="62">
        <f>SUM(D17:D21)</f>
        <v>9</v>
      </c>
      <c r="E22" s="63">
        <f>SUM(E17:E21)</f>
        <v>592</v>
      </c>
      <c r="G22" s="25" t="s">
        <v>14</v>
      </c>
      <c r="I22" s="20"/>
      <c r="J22" s="62">
        <f>SUM(J17:J21)</f>
        <v>8</v>
      </c>
      <c r="K22" s="63">
        <f>SUM(K17:K21)</f>
        <v>512</v>
      </c>
      <c r="M22" s="11"/>
      <c r="T22" s="163"/>
    </row>
    <row r="23" spans="1:25" x14ac:dyDescent="0.45">
      <c r="A23" s="25"/>
      <c r="D23" s="10" t="s">
        <v>93</v>
      </c>
      <c r="E23" s="27">
        <v>12</v>
      </c>
      <c r="G23" s="25"/>
      <c r="I23" s="20"/>
      <c r="J23" s="10" t="s">
        <v>93</v>
      </c>
      <c r="K23" s="27">
        <v>12</v>
      </c>
      <c r="M23" s="11" t="s">
        <v>94</v>
      </c>
      <c r="N23" s="164">
        <f>SUM(N14:N21)</f>
        <v>5770</v>
      </c>
      <c r="O23" s="10"/>
      <c r="P23" s="164">
        <f>SUM(P14:P21)</f>
        <v>1599</v>
      </c>
      <c r="R23" s="162">
        <f>R21</f>
        <v>70432</v>
      </c>
      <c r="S23" s="55" t="s">
        <v>95</v>
      </c>
      <c r="T23" s="163"/>
    </row>
    <row r="24" spans="1:25" ht="15.75" thickBot="1" x14ac:dyDescent="0.5">
      <c r="A24" s="28" t="s">
        <v>45</v>
      </c>
      <c r="B24" s="98"/>
      <c r="C24" s="29"/>
      <c r="D24" s="30"/>
      <c r="E24" s="64">
        <f>E22*E23</f>
        <v>7104</v>
      </c>
      <c r="G24" s="28" t="s">
        <v>45</v>
      </c>
      <c r="H24" s="98"/>
      <c r="I24" s="29"/>
      <c r="J24" s="30"/>
      <c r="K24" s="64">
        <f>K22*K23</f>
        <v>6144</v>
      </c>
      <c r="M24" s="11"/>
      <c r="N24" s="165">
        <f>N23/N7</f>
        <v>0.80665455053823576</v>
      </c>
      <c r="O24" s="10"/>
      <c r="P24" s="165">
        <f>P23/P7</f>
        <v>2.7122841537469893E-2</v>
      </c>
    </row>
    <row r="25" spans="1:25" x14ac:dyDescent="0.45">
      <c r="M25" s="11"/>
      <c r="N25" s="13"/>
      <c r="U25" s="10"/>
      <c r="V25" s="10"/>
      <c r="W25" s="10"/>
    </row>
    <row r="26" spans="1:25" x14ac:dyDescent="0.45">
      <c r="I26" s="20"/>
      <c r="J26" s="10"/>
      <c r="K26" s="6"/>
      <c r="M26" s="11" t="s">
        <v>96</v>
      </c>
      <c r="N26" s="162">
        <f>SUM(D5:D9)</f>
        <v>240</v>
      </c>
      <c r="P26" s="162">
        <f>SUM(J5:J9)</f>
        <v>72</v>
      </c>
      <c r="R26" s="162">
        <f>SUM(N26,P26)</f>
        <v>312</v>
      </c>
      <c r="U26" s="9"/>
      <c r="V26" s="9"/>
      <c r="W26" s="9"/>
      <c r="Y26" s="163"/>
    </row>
    <row r="27" spans="1:25" x14ac:dyDescent="0.45">
      <c r="A27" s="21" t="s">
        <v>97</v>
      </c>
      <c r="B27" s="139"/>
      <c r="C27" s="22" t="s">
        <v>46</v>
      </c>
      <c r="D27" s="23" t="s">
        <v>78</v>
      </c>
      <c r="E27" s="24" t="s">
        <v>6</v>
      </c>
      <c r="G27" s="21" t="s">
        <v>97</v>
      </c>
      <c r="H27" s="139"/>
      <c r="I27" s="22" t="s">
        <v>46</v>
      </c>
      <c r="J27" s="23" t="s">
        <v>78</v>
      </c>
      <c r="K27" s="24" t="s">
        <v>6</v>
      </c>
      <c r="M27" s="11"/>
      <c r="N27" s="165">
        <f>N26/N5</f>
        <v>8.3073727933541022E-2</v>
      </c>
      <c r="P27" s="165">
        <f>P26/(P7-N7)</f>
        <v>1.3899345572479297E-3</v>
      </c>
      <c r="R27" s="165">
        <f>R26/P5</f>
        <v>1.3644115974985787E-2</v>
      </c>
      <c r="U27" s="9"/>
      <c r="V27" s="9"/>
      <c r="W27" s="9"/>
      <c r="Y27" s="163"/>
    </row>
    <row r="28" spans="1:25" ht="15.75" thickTop="1" x14ac:dyDescent="0.45">
      <c r="A28" s="25" t="s">
        <v>88</v>
      </c>
      <c r="C28" s="20">
        <v>0</v>
      </c>
      <c r="D28" s="10">
        <v>0</v>
      </c>
      <c r="E28" s="63">
        <f>C28*D28</f>
        <v>0</v>
      </c>
      <c r="G28" s="25" t="s">
        <v>88</v>
      </c>
      <c r="I28" s="20">
        <v>0</v>
      </c>
      <c r="J28" s="10">
        <v>0</v>
      </c>
      <c r="K28" s="63">
        <f>I28*J28</f>
        <v>0</v>
      </c>
      <c r="M28" s="11"/>
      <c r="N28" s="13"/>
      <c r="U28" s="9"/>
      <c r="V28" s="9"/>
      <c r="W28" s="9"/>
      <c r="Y28" s="163"/>
    </row>
    <row r="29" spans="1:25" x14ac:dyDescent="0.45">
      <c r="A29" s="25" t="s">
        <v>89</v>
      </c>
      <c r="C29" s="20">
        <v>6</v>
      </c>
      <c r="D29" s="10">
        <v>5</v>
      </c>
      <c r="E29" s="63">
        <f>C29*D29</f>
        <v>30</v>
      </c>
      <c r="G29" s="25" t="s">
        <v>89</v>
      </c>
      <c r="I29" s="20">
        <v>6</v>
      </c>
      <c r="J29" s="10">
        <f>D29*0.5</f>
        <v>2.5</v>
      </c>
      <c r="K29" s="63">
        <f>I29*J29</f>
        <v>15</v>
      </c>
      <c r="M29" s="11" t="s">
        <v>98</v>
      </c>
      <c r="N29" s="162">
        <f>SUM(N14:N18)</f>
        <v>490</v>
      </c>
      <c r="P29" s="162">
        <f>SUM(P14:P18)</f>
        <v>147</v>
      </c>
      <c r="R29" s="162">
        <f>SUM(N29:Q29)</f>
        <v>637</v>
      </c>
      <c r="U29" s="9"/>
      <c r="V29" s="9"/>
      <c r="W29" s="9"/>
      <c r="Y29" s="163"/>
    </row>
    <row r="30" spans="1:25" x14ac:dyDescent="0.45">
      <c r="A30" s="25" t="s">
        <v>81</v>
      </c>
      <c r="C30" s="20">
        <v>10</v>
      </c>
      <c r="D30" s="10">
        <v>5</v>
      </c>
      <c r="E30" s="63">
        <f>C30*D30</f>
        <v>50</v>
      </c>
      <c r="G30" s="25" t="s">
        <v>81</v>
      </c>
      <c r="I30" s="20">
        <v>10</v>
      </c>
      <c r="J30" s="10">
        <f t="shared" ref="J30:J31" si="6">D30*0.5</f>
        <v>2.5</v>
      </c>
      <c r="K30" s="63">
        <f>I30*J30</f>
        <v>25</v>
      </c>
      <c r="U30" s="9"/>
      <c r="V30" s="10"/>
      <c r="W30" s="9"/>
      <c r="Y30" s="163"/>
    </row>
    <row r="31" spans="1:25" x14ac:dyDescent="0.45">
      <c r="A31" s="25" t="s">
        <v>196</v>
      </c>
      <c r="C31" s="20">
        <v>6</v>
      </c>
      <c r="D31" s="10">
        <v>2</v>
      </c>
      <c r="E31" s="63">
        <f>C31*D31</f>
        <v>12</v>
      </c>
      <c r="G31" s="25" t="s">
        <v>196</v>
      </c>
      <c r="I31" s="20">
        <v>6</v>
      </c>
      <c r="J31" s="10">
        <f t="shared" si="6"/>
        <v>1</v>
      </c>
      <c r="K31" s="63">
        <f>I31*J31</f>
        <v>6</v>
      </c>
      <c r="M31" s="11"/>
      <c r="N31" s="165">
        <f>N29/N7</f>
        <v>6.8502726128896962E-2</v>
      </c>
      <c r="P31" s="165">
        <f>P29/(P7-N7)</f>
        <v>2.8377830543811896E-3</v>
      </c>
      <c r="U31" s="10"/>
      <c r="V31" s="10"/>
      <c r="W31" s="9"/>
      <c r="Y31" s="163"/>
    </row>
    <row r="32" spans="1:25" x14ac:dyDescent="0.45">
      <c r="A32" s="25"/>
      <c r="E32" s="26"/>
      <c r="G32" s="25"/>
      <c r="I32" s="20"/>
      <c r="J32" s="10"/>
      <c r="K32" s="26"/>
      <c r="U32" s="10"/>
      <c r="V32" s="10"/>
      <c r="W32" s="9"/>
      <c r="Y32" s="163"/>
    </row>
    <row r="33" spans="1:25" x14ac:dyDescent="0.45">
      <c r="A33" s="25" t="s">
        <v>14</v>
      </c>
      <c r="D33" s="62">
        <f>SUM(D28:D32)</f>
        <v>12</v>
      </c>
      <c r="E33" s="63">
        <f>SUM(E28:E32)</f>
        <v>92</v>
      </c>
      <c r="G33" s="25" t="s">
        <v>14</v>
      </c>
      <c r="I33" s="20"/>
      <c r="J33" s="62">
        <f>SUM(J28:J32)</f>
        <v>6</v>
      </c>
      <c r="K33" s="63">
        <f>SUM(K28:K32)</f>
        <v>46</v>
      </c>
      <c r="W33" s="96"/>
      <c r="Y33" s="163"/>
    </row>
    <row r="34" spans="1:25" x14ac:dyDescent="0.45">
      <c r="A34" s="25"/>
      <c r="D34" s="10" t="s">
        <v>199</v>
      </c>
      <c r="E34" s="27">
        <v>350</v>
      </c>
      <c r="G34" s="25"/>
      <c r="I34" s="20"/>
      <c r="J34" s="10" t="s">
        <v>199</v>
      </c>
      <c r="K34" s="27">
        <v>82</v>
      </c>
      <c r="U34" s="10"/>
      <c r="V34" s="10"/>
      <c r="W34" s="10"/>
      <c r="Y34" s="163"/>
    </row>
    <row r="35" spans="1:25" ht="15.75" thickBot="1" x14ac:dyDescent="0.5">
      <c r="A35" s="28" t="s">
        <v>45</v>
      </c>
      <c r="B35" s="98"/>
      <c r="C35" s="29"/>
      <c r="D35" s="30"/>
      <c r="E35" s="64">
        <f>E33*E34</f>
        <v>32200</v>
      </c>
      <c r="G35" s="28" t="s">
        <v>45</v>
      </c>
      <c r="H35" s="98"/>
      <c r="I35" s="29"/>
      <c r="J35" s="30"/>
      <c r="K35" s="64">
        <f>K33*K34</f>
        <v>3772</v>
      </c>
      <c r="U35" s="9"/>
      <c r="V35" s="9"/>
      <c r="W35" s="9"/>
      <c r="Y35" s="163"/>
    </row>
    <row r="36" spans="1:25" x14ac:dyDescent="0.45">
      <c r="I36" s="20"/>
      <c r="J36" s="10"/>
      <c r="K36" s="6"/>
      <c r="U36" s="9"/>
      <c r="V36" s="9"/>
      <c r="W36" s="9"/>
      <c r="Y36" s="163"/>
    </row>
    <row r="37" spans="1:25" x14ac:dyDescent="0.45">
      <c r="U37" s="9"/>
      <c r="V37" s="9"/>
      <c r="W37" s="9"/>
      <c r="Y37" s="163"/>
    </row>
    <row r="38" spans="1:25" ht="15.75" thickBot="1" x14ac:dyDescent="0.5">
      <c r="U38" s="9"/>
      <c r="V38" s="9"/>
      <c r="W38" s="9"/>
      <c r="Y38" s="163"/>
    </row>
    <row r="39" spans="1:25" ht="15.75" thickBot="1" x14ac:dyDescent="0.5">
      <c r="A39" s="21" t="s">
        <v>99</v>
      </c>
      <c r="B39" s="139"/>
      <c r="C39" s="31"/>
      <c r="U39" s="9"/>
      <c r="V39" s="10"/>
      <c r="W39" s="9"/>
      <c r="Y39" s="163"/>
    </row>
    <row r="40" spans="1:25" ht="15.75" thickTop="1" x14ac:dyDescent="0.45">
      <c r="A40" s="25" t="s">
        <v>91</v>
      </c>
      <c r="C40" s="65">
        <f>E35+K35</f>
        <v>35972</v>
      </c>
      <c r="D40" s="67">
        <f>C40/C44</f>
        <v>0.15058606831882115</v>
      </c>
      <c r="U40" s="10"/>
      <c r="V40" s="10"/>
      <c r="W40" s="9"/>
      <c r="Y40" s="163"/>
    </row>
    <row r="41" spans="1:25" x14ac:dyDescent="0.45">
      <c r="A41" s="25" t="s">
        <v>100</v>
      </c>
      <c r="C41" s="65">
        <f>E24+K24</f>
        <v>13248</v>
      </c>
      <c r="D41" s="67">
        <f>C41/C44</f>
        <v>5.5458807769591424E-2</v>
      </c>
      <c r="U41" s="10"/>
      <c r="V41" s="10"/>
      <c r="W41" s="9"/>
      <c r="Y41" s="163"/>
    </row>
    <row r="42" spans="1:25" x14ac:dyDescent="0.45">
      <c r="A42" s="25" t="s">
        <v>101</v>
      </c>
      <c r="C42" s="65">
        <f>E13+K13</f>
        <v>189660</v>
      </c>
      <c r="D42" s="67">
        <f>C42/C44</f>
        <v>0.7939551239115874</v>
      </c>
      <c r="U42" s="10"/>
      <c r="V42" s="10"/>
      <c r="W42" s="9"/>
      <c r="Y42" s="163"/>
    </row>
    <row r="43" spans="1:25" x14ac:dyDescent="0.45">
      <c r="A43" s="25"/>
      <c r="C43" s="32"/>
    </row>
    <row r="44" spans="1:25" ht="15.75" thickBot="1" x14ac:dyDescent="0.5">
      <c r="A44" s="28" t="s">
        <v>14</v>
      </c>
      <c r="B44" s="98"/>
      <c r="C44" s="66">
        <f>SUM(C40:C42)</f>
        <v>238880</v>
      </c>
    </row>
  </sheetData>
  <mergeCells count="1">
    <mergeCell ref="A1:F1"/>
  </mergeCells>
  <phoneticPr fontId="6" type="noConversion"/>
  <pageMargins left="0.75" right="0.75" top="1" bottom="1" header="0.5" footer="0.5"/>
  <pageSetup scale="56" orientation="landscape" horizontalDpi="1200" verticalDpi="1200" r:id="rId1"/>
  <headerFooter alignWithMargins="0">
    <oddHeader>&amp;LAdmision &amp; Membership Option #1&amp;R&amp;P</oddHeader>
    <oddFooter>&amp;LBallard*King &amp; Associates</oddFooter>
  </headerFooter>
  <ignoredErrors>
    <ignoredError sqref="N16 P16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R56"/>
  <sheetViews>
    <sheetView zoomScale="90" zoomScaleNormal="90" workbookViewId="0">
      <selection activeCell="D9" sqref="D9"/>
    </sheetView>
  </sheetViews>
  <sheetFormatPr defaultRowHeight="15.4" x14ac:dyDescent="0.45"/>
  <cols>
    <col min="1" max="1" width="30" style="11" bestFit="1" customWidth="1"/>
    <col min="2" max="4" width="10.73046875" style="10" customWidth="1"/>
    <col min="5" max="5" width="11.265625" style="10" bestFit="1" customWidth="1"/>
    <col min="6" max="6" width="11.265625" style="10" customWidth="1"/>
    <col min="7" max="7" width="11.3984375" style="10" customWidth="1"/>
    <col min="8" max="8" width="23" style="10" bestFit="1" customWidth="1"/>
    <col min="9" max="14" width="12.73046875" style="10" customWidth="1"/>
    <col min="15" max="15" width="13.265625" style="10" bestFit="1" customWidth="1"/>
    <col min="16" max="16" width="9.1328125" style="10"/>
    <col min="17" max="18" width="9.1328125" style="1"/>
  </cols>
  <sheetData>
    <row r="2" spans="1:14" x14ac:dyDescent="0.45">
      <c r="C2" s="8"/>
      <c r="G2" s="9"/>
    </row>
    <row r="3" spans="1:14" x14ac:dyDescent="0.45">
      <c r="B3" s="10" t="s">
        <v>102</v>
      </c>
      <c r="C3" s="10" t="s">
        <v>62</v>
      </c>
      <c r="D3" s="10" t="s">
        <v>63</v>
      </c>
      <c r="E3" s="10" t="s">
        <v>61</v>
      </c>
      <c r="I3" s="10" t="s">
        <v>67</v>
      </c>
      <c r="J3" s="10" t="s">
        <v>62</v>
      </c>
      <c r="K3" s="10" t="s">
        <v>102</v>
      </c>
      <c r="L3" s="10" t="s">
        <v>61</v>
      </c>
    </row>
    <row r="4" spans="1:14" x14ac:dyDescent="0.45">
      <c r="A4" s="11" t="s">
        <v>200</v>
      </c>
      <c r="B4" s="10">
        <v>1</v>
      </c>
      <c r="C4" s="147">
        <v>2</v>
      </c>
      <c r="D4" s="10">
        <v>20</v>
      </c>
      <c r="E4" s="20">
        <v>40</v>
      </c>
      <c r="G4" s="68">
        <f>B4*C4*D4*E4</f>
        <v>1600</v>
      </c>
      <c r="I4" s="10">
        <v>0</v>
      </c>
      <c r="J4" s="10">
        <v>2.5</v>
      </c>
      <c r="K4" s="62">
        <f>B4*D4</f>
        <v>20</v>
      </c>
      <c r="L4" s="8">
        <v>15</v>
      </c>
      <c r="M4" s="70">
        <f>I4*J4*K4*L4</f>
        <v>0</v>
      </c>
      <c r="N4" s="8"/>
    </row>
    <row r="5" spans="1:14" x14ac:dyDescent="0.45">
      <c r="C5" s="147"/>
      <c r="E5" s="20"/>
      <c r="G5" s="9"/>
      <c r="L5" s="8"/>
      <c r="M5" s="81"/>
      <c r="N5" s="8"/>
    </row>
    <row r="6" spans="1:14" x14ac:dyDescent="0.45">
      <c r="A6" s="11" t="s">
        <v>201</v>
      </c>
      <c r="B6" s="10">
        <v>1</v>
      </c>
      <c r="C6" s="147">
        <v>2</v>
      </c>
      <c r="D6" s="10">
        <v>12</v>
      </c>
      <c r="E6" s="20">
        <v>35</v>
      </c>
      <c r="G6" s="68">
        <f>B6*C6*D6*E6</f>
        <v>840</v>
      </c>
      <c r="I6" s="10">
        <v>1</v>
      </c>
      <c r="J6" s="10">
        <v>2.5</v>
      </c>
      <c r="K6" s="62">
        <f>B6*D6</f>
        <v>12</v>
      </c>
      <c r="L6" s="8">
        <v>15</v>
      </c>
      <c r="M6" s="70">
        <f>I6*J6*K6*L6</f>
        <v>450</v>
      </c>
      <c r="N6" s="8"/>
    </row>
    <row r="7" spans="1:14" x14ac:dyDescent="0.45">
      <c r="C7" s="147"/>
      <c r="E7" s="20"/>
      <c r="G7" s="9"/>
      <c r="L7" s="8"/>
      <c r="M7" s="81"/>
      <c r="N7" s="8"/>
    </row>
    <row r="8" spans="1:14" x14ac:dyDescent="0.45">
      <c r="A8" s="11" t="s">
        <v>203</v>
      </c>
      <c r="B8" s="10">
        <v>1</v>
      </c>
      <c r="C8" s="147">
        <v>8</v>
      </c>
      <c r="D8" s="10">
        <v>40</v>
      </c>
      <c r="E8" s="20">
        <v>120</v>
      </c>
      <c r="G8" s="68">
        <f>B8*C8*D8*E8</f>
        <v>38400</v>
      </c>
      <c r="I8" s="10">
        <v>1</v>
      </c>
      <c r="J8" s="10">
        <v>8</v>
      </c>
      <c r="K8" s="62">
        <f>B8*D8</f>
        <v>40</v>
      </c>
      <c r="L8" s="8">
        <v>15</v>
      </c>
      <c r="M8" s="70">
        <f>I8*J8*K8*L8</f>
        <v>4800</v>
      </c>
      <c r="N8" s="8"/>
    </row>
    <row r="9" spans="1:14" x14ac:dyDescent="0.45">
      <c r="C9" s="147"/>
      <c r="E9" s="20"/>
      <c r="G9" s="9"/>
      <c r="M9" s="81"/>
      <c r="N9" s="8"/>
    </row>
    <row r="10" spans="1:14" x14ac:dyDescent="0.45">
      <c r="A10" s="11" t="s">
        <v>204</v>
      </c>
      <c r="B10" s="10">
        <v>2</v>
      </c>
      <c r="C10" s="147">
        <v>2</v>
      </c>
      <c r="D10" s="10">
        <v>50</v>
      </c>
      <c r="E10" s="20">
        <v>45</v>
      </c>
      <c r="G10" s="68">
        <f>B10*C10*D10*E10</f>
        <v>9000</v>
      </c>
      <c r="I10" s="10">
        <v>1</v>
      </c>
      <c r="J10" s="10">
        <v>2.5</v>
      </c>
      <c r="K10" s="62">
        <f>B10*D10</f>
        <v>100</v>
      </c>
      <c r="L10" s="8">
        <v>15</v>
      </c>
      <c r="M10" s="70">
        <f>I10*J10*K10*L10</f>
        <v>3750</v>
      </c>
      <c r="N10" s="8"/>
    </row>
    <row r="11" spans="1:14" x14ac:dyDescent="0.45">
      <c r="C11" s="147"/>
      <c r="E11" s="20"/>
      <c r="G11" s="9"/>
      <c r="M11" s="81"/>
      <c r="N11" s="8"/>
    </row>
    <row r="12" spans="1:14" x14ac:dyDescent="0.45">
      <c r="A12" s="11" t="s">
        <v>205</v>
      </c>
      <c r="C12" s="147"/>
      <c r="E12" s="20"/>
      <c r="G12" s="68">
        <f>B12*C12*D12*E12</f>
        <v>0</v>
      </c>
      <c r="I12" s="10">
        <v>1</v>
      </c>
      <c r="J12" s="10">
        <v>2.5</v>
      </c>
      <c r="K12" s="62">
        <f>B12*D12</f>
        <v>0</v>
      </c>
      <c r="L12" s="8">
        <v>15</v>
      </c>
      <c r="M12" s="70">
        <f>I12*J12*K12*L12</f>
        <v>0</v>
      </c>
    </row>
    <row r="13" spans="1:14" x14ac:dyDescent="0.45">
      <c r="C13" s="147"/>
      <c r="E13" s="20"/>
      <c r="G13" s="9"/>
      <c r="L13" s="8"/>
      <c r="M13" s="81"/>
    </row>
    <row r="14" spans="1:14" x14ac:dyDescent="0.45">
      <c r="A14" s="11" t="s">
        <v>206</v>
      </c>
      <c r="B14" s="10">
        <v>1</v>
      </c>
      <c r="C14" s="147">
        <v>1</v>
      </c>
      <c r="D14" s="10">
        <v>3</v>
      </c>
      <c r="E14" s="20">
        <v>1500</v>
      </c>
      <c r="G14" s="68">
        <f>B14*C14*D14*E14</f>
        <v>4500</v>
      </c>
      <c r="I14" s="10">
        <v>2</v>
      </c>
      <c r="J14" s="10">
        <v>8</v>
      </c>
      <c r="K14" s="62">
        <f>B14*D14</f>
        <v>3</v>
      </c>
      <c r="L14" s="8">
        <v>15</v>
      </c>
      <c r="M14" s="70">
        <f>I14*J14*K14*L14</f>
        <v>720</v>
      </c>
    </row>
    <row r="15" spans="1:14" x14ac:dyDescent="0.45">
      <c r="C15" s="8"/>
      <c r="E15" s="9"/>
      <c r="F15" s="9"/>
    </row>
    <row r="16" spans="1:14" x14ac:dyDescent="0.45">
      <c r="A16" s="134" t="s">
        <v>51</v>
      </c>
      <c r="C16" s="8"/>
      <c r="G16" s="69">
        <f>SUM(G4,G6,G8,G10,G12,G14)-SUM(M4,M6,M8,M10,M12,M14)</f>
        <v>44620</v>
      </c>
      <c r="M16" s="8"/>
    </row>
    <row r="17" spans="1:14" x14ac:dyDescent="0.45">
      <c r="I17" s="8"/>
      <c r="M17" s="8"/>
    </row>
    <row r="18" spans="1:14" x14ac:dyDescent="0.45">
      <c r="I18" s="8"/>
      <c r="M18" s="8"/>
      <c r="N18" s="8"/>
    </row>
    <row r="19" spans="1:14" x14ac:dyDescent="0.45">
      <c r="A19" s="11" t="s">
        <v>223</v>
      </c>
      <c r="H19" s="10" t="s">
        <v>192</v>
      </c>
      <c r="I19" s="8" t="s">
        <v>230</v>
      </c>
      <c r="J19" s="10" t="s">
        <v>61</v>
      </c>
      <c r="M19" s="8"/>
      <c r="N19" s="8"/>
    </row>
    <row r="20" spans="1:14" x14ac:dyDescent="0.45">
      <c r="A20" s="11" t="s">
        <v>202</v>
      </c>
      <c r="C20" s="15"/>
      <c r="G20" s="9"/>
      <c r="H20" s="10" t="s">
        <v>226</v>
      </c>
      <c r="I20" s="10">
        <v>36</v>
      </c>
      <c r="J20" s="10">
        <v>45</v>
      </c>
      <c r="L20" s="8"/>
      <c r="M20" s="8"/>
    </row>
    <row r="21" spans="1:14" x14ac:dyDescent="0.45">
      <c r="A21" s="171" t="s">
        <v>224</v>
      </c>
      <c r="B21" s="10">
        <v>168</v>
      </c>
      <c r="C21" s="15"/>
      <c r="G21" s="9"/>
      <c r="H21" s="10" t="s">
        <v>227</v>
      </c>
      <c r="I21" s="10">
        <v>60</v>
      </c>
      <c r="J21" s="10">
        <v>60</v>
      </c>
      <c r="L21" s="8"/>
      <c r="M21" s="8"/>
    </row>
    <row r="22" spans="1:14" x14ac:dyDescent="0.45">
      <c r="A22" s="171" t="s">
        <v>225</v>
      </c>
      <c r="B22" s="10">
        <v>220</v>
      </c>
      <c r="H22" s="10" t="s">
        <v>228</v>
      </c>
      <c r="I22" s="10">
        <v>24</v>
      </c>
      <c r="J22" s="10">
        <v>35</v>
      </c>
      <c r="M22" s="8"/>
    </row>
    <row r="23" spans="1:14" x14ac:dyDescent="0.45">
      <c r="C23" s="15"/>
      <c r="G23" s="9"/>
      <c r="H23" s="10" t="s">
        <v>229</v>
      </c>
      <c r="I23" s="10">
        <v>96</v>
      </c>
      <c r="J23" s="10">
        <v>85</v>
      </c>
      <c r="M23" s="8"/>
    </row>
    <row r="24" spans="1:14" x14ac:dyDescent="0.45">
      <c r="A24" s="11" t="s">
        <v>204</v>
      </c>
      <c r="C24" s="15"/>
      <c r="G24" s="9"/>
    </row>
    <row r="25" spans="1:14" x14ac:dyDescent="0.45">
      <c r="A25" s="171" t="s">
        <v>224</v>
      </c>
      <c r="B25" s="10">
        <v>48</v>
      </c>
    </row>
    <row r="26" spans="1:14" x14ac:dyDescent="0.45">
      <c r="A26" s="171" t="s">
        <v>225</v>
      </c>
      <c r="B26" s="10">
        <v>70</v>
      </c>
      <c r="C26" s="15"/>
      <c r="G26" s="9"/>
    </row>
    <row r="27" spans="1:14" x14ac:dyDescent="0.45">
      <c r="C27" s="15"/>
      <c r="G27" s="9"/>
    </row>
    <row r="29" spans="1:14" x14ac:dyDescent="0.45">
      <c r="C29" s="15"/>
      <c r="G29" s="9"/>
    </row>
    <row r="30" spans="1:14" x14ac:dyDescent="0.45">
      <c r="C30" s="15"/>
      <c r="G30" s="9"/>
    </row>
    <row r="32" spans="1:14" x14ac:dyDescent="0.45">
      <c r="C32" s="15"/>
      <c r="G32" s="9"/>
    </row>
    <row r="33" spans="3:8" x14ac:dyDescent="0.45">
      <c r="C33" s="15"/>
      <c r="G33" s="9"/>
    </row>
    <row r="35" spans="3:8" x14ac:dyDescent="0.45">
      <c r="C35" s="15"/>
      <c r="G35" s="9"/>
    </row>
    <row r="36" spans="3:8" x14ac:dyDescent="0.45">
      <c r="C36" s="59"/>
      <c r="G36" s="9"/>
    </row>
    <row r="37" spans="3:8" x14ac:dyDescent="0.45">
      <c r="C37" s="59"/>
      <c r="G37" s="9"/>
    </row>
    <row r="38" spans="3:8" x14ac:dyDescent="0.45">
      <c r="C38" s="15"/>
      <c r="G38" s="9"/>
    </row>
    <row r="40" spans="3:8" x14ac:dyDescent="0.45">
      <c r="C40" s="8"/>
      <c r="G40" s="14"/>
    </row>
    <row r="45" spans="3:8" x14ac:dyDescent="0.45">
      <c r="C45" s="15"/>
      <c r="H45" s="9"/>
    </row>
    <row r="46" spans="3:8" x14ac:dyDescent="0.45">
      <c r="C46" s="15"/>
      <c r="H46" s="9"/>
    </row>
    <row r="48" spans="3:8" x14ac:dyDescent="0.45">
      <c r="C48" s="15"/>
      <c r="H48" s="9"/>
    </row>
    <row r="49" spans="3:8" x14ac:dyDescent="0.45">
      <c r="C49" s="15"/>
      <c r="H49" s="9"/>
    </row>
    <row r="51" spans="3:8" x14ac:dyDescent="0.45">
      <c r="C51" s="15"/>
      <c r="H51" s="9"/>
    </row>
    <row r="52" spans="3:8" x14ac:dyDescent="0.45">
      <c r="C52" s="15"/>
      <c r="H52" s="9"/>
    </row>
    <row r="54" spans="3:8" x14ac:dyDescent="0.45">
      <c r="C54" s="15"/>
      <c r="H54" s="9"/>
    </row>
    <row r="56" spans="3:8" x14ac:dyDescent="0.45">
      <c r="H56" s="14"/>
    </row>
  </sheetData>
  <pageMargins left="0.7" right="0.7" top="0.75" bottom="0.75" header="0.3" footer="0.3"/>
  <pageSetup scale="56" orientation="landscape" horizontalDpi="1200" verticalDpi="1200" r:id="rId1"/>
  <headerFooter>
    <oddHeader>&amp;LRental Revenue Option #1&amp;R&amp;P</oddHeader>
    <oddFooter>&amp;LBallard*King &amp; Associates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4"/>
  <sheetViews>
    <sheetView tabSelected="1" zoomScale="110" zoomScaleNormal="110" workbookViewId="0">
      <selection activeCell="G62" sqref="G62"/>
    </sheetView>
  </sheetViews>
  <sheetFormatPr defaultRowHeight="12.75" x14ac:dyDescent="0.35"/>
  <cols>
    <col min="1" max="1" width="17.73046875" bestFit="1" customWidth="1"/>
    <col min="2" max="2" width="15.1328125" bestFit="1" customWidth="1"/>
    <col min="4" max="4" width="11.46484375" customWidth="1"/>
    <col min="6" max="6" width="16.73046875" bestFit="1" customWidth="1"/>
    <col min="7" max="7" width="15" bestFit="1" customWidth="1"/>
    <col min="9" max="9" width="17" bestFit="1" customWidth="1"/>
    <col min="10" max="10" width="14.265625" bestFit="1" customWidth="1"/>
    <col min="15" max="15" width="16.1328125" customWidth="1"/>
  </cols>
  <sheetData>
    <row r="1" spans="1:17" ht="13.9" x14ac:dyDescent="0.4">
      <c r="A1" s="33" t="s">
        <v>6</v>
      </c>
      <c r="B1" s="33"/>
      <c r="C1" s="33"/>
      <c r="D1" s="33"/>
      <c r="E1" s="33"/>
      <c r="F1" s="33"/>
      <c r="G1" s="33"/>
      <c r="H1" s="33"/>
      <c r="I1" s="33" t="s">
        <v>5</v>
      </c>
      <c r="J1" s="33"/>
      <c r="K1" s="33"/>
      <c r="L1" s="33"/>
      <c r="M1" s="33"/>
      <c r="N1" s="33"/>
      <c r="O1" s="33"/>
    </row>
    <row r="2" spans="1:17" ht="13.9" x14ac:dyDescent="0.4">
      <c r="A2" s="34"/>
      <c r="B2" s="34"/>
      <c r="C2" s="34"/>
      <c r="D2" s="34"/>
      <c r="E2" s="35"/>
      <c r="F2" s="36"/>
      <c r="G2" s="36"/>
      <c r="H2" s="37"/>
      <c r="I2" s="34"/>
      <c r="J2" s="34"/>
      <c r="K2" s="34"/>
      <c r="L2" s="34"/>
      <c r="M2" s="34"/>
      <c r="N2" s="34"/>
      <c r="O2" s="34"/>
    </row>
    <row r="3" spans="1:17" ht="13.9" x14ac:dyDescent="0.4">
      <c r="A3" s="38"/>
      <c r="B3" s="33"/>
      <c r="C3" s="33"/>
      <c r="D3" s="33"/>
      <c r="E3" s="33"/>
      <c r="F3" s="33"/>
      <c r="G3" s="39"/>
      <c r="H3" s="33"/>
      <c r="I3" s="38"/>
      <c r="J3" s="33"/>
      <c r="K3" s="33"/>
      <c r="L3" s="33"/>
      <c r="M3" s="33"/>
      <c r="N3" s="33"/>
      <c r="O3" s="39"/>
    </row>
    <row r="4" spans="1:17" ht="13.9" x14ac:dyDescent="0.4">
      <c r="A4" s="38" t="s">
        <v>207</v>
      </c>
      <c r="B4" s="33"/>
      <c r="C4" s="33"/>
      <c r="D4" s="33" t="s">
        <v>103</v>
      </c>
      <c r="E4" s="33" t="s">
        <v>104</v>
      </c>
      <c r="F4" s="33" t="s">
        <v>105</v>
      </c>
      <c r="G4" s="39" t="s">
        <v>106</v>
      </c>
      <c r="H4" s="33"/>
      <c r="I4" s="38" t="s">
        <v>62</v>
      </c>
      <c r="J4" s="33" t="s">
        <v>107</v>
      </c>
      <c r="K4" s="33" t="s">
        <v>63</v>
      </c>
      <c r="L4" s="33" t="s">
        <v>108</v>
      </c>
      <c r="M4" s="33"/>
      <c r="N4" s="33"/>
      <c r="O4" s="39"/>
    </row>
    <row r="5" spans="1:17" ht="13.9" x14ac:dyDescent="0.4">
      <c r="A5" s="38"/>
      <c r="B5" s="33" t="s">
        <v>109</v>
      </c>
      <c r="C5" s="33"/>
      <c r="D5" s="33">
        <v>3</v>
      </c>
      <c r="E5" s="33">
        <v>2</v>
      </c>
      <c r="F5" s="33">
        <v>10</v>
      </c>
      <c r="G5" s="71">
        <f>D5*E5*F5</f>
        <v>60</v>
      </c>
      <c r="H5" s="33"/>
      <c r="I5" s="38">
        <v>3</v>
      </c>
      <c r="J5" s="33">
        <v>2</v>
      </c>
      <c r="K5" s="33">
        <v>4</v>
      </c>
      <c r="L5" s="33">
        <v>1</v>
      </c>
      <c r="M5" s="74">
        <f>I5*J5*K5*L5</f>
        <v>24</v>
      </c>
      <c r="N5" s="37">
        <v>25</v>
      </c>
      <c r="O5" s="75">
        <f>M5*N5</f>
        <v>600</v>
      </c>
      <c r="Q5">
        <f>E5*F5*8</f>
        <v>160</v>
      </c>
    </row>
    <row r="6" spans="1:17" ht="13.9" x14ac:dyDescent="0.4">
      <c r="A6" s="38"/>
      <c r="B6" s="33" t="s">
        <v>208</v>
      </c>
      <c r="C6" s="33"/>
      <c r="D6" s="33">
        <v>4</v>
      </c>
      <c r="E6" s="33">
        <v>9</v>
      </c>
      <c r="F6" s="33">
        <v>12</v>
      </c>
      <c r="G6" s="71">
        <f>D6*E6*F6</f>
        <v>432</v>
      </c>
      <c r="H6" s="33"/>
      <c r="I6" s="38">
        <v>4</v>
      </c>
      <c r="J6" s="33">
        <v>2</v>
      </c>
      <c r="K6" s="33">
        <v>36</v>
      </c>
      <c r="L6" s="33">
        <v>1</v>
      </c>
      <c r="M6" s="74">
        <f>I6*J6*K6*L6</f>
        <v>288</v>
      </c>
      <c r="N6" s="37">
        <v>25</v>
      </c>
      <c r="O6" s="75">
        <f>M6*N6</f>
        <v>7200</v>
      </c>
      <c r="Q6">
        <f>E6*F6*8</f>
        <v>864</v>
      </c>
    </row>
    <row r="7" spans="1:17" ht="13.9" x14ac:dyDescent="0.4">
      <c r="A7" s="38"/>
      <c r="B7" s="33"/>
      <c r="C7" s="33"/>
      <c r="D7" s="33"/>
      <c r="E7" s="33"/>
      <c r="F7" s="33"/>
      <c r="G7" s="39"/>
      <c r="H7" s="33"/>
      <c r="I7" s="38"/>
      <c r="J7" s="33"/>
      <c r="K7" s="33"/>
      <c r="L7" s="33"/>
      <c r="M7" s="33"/>
      <c r="N7" s="33"/>
      <c r="O7" s="39"/>
    </row>
    <row r="8" spans="1:17" ht="13.9" x14ac:dyDescent="0.4">
      <c r="A8" s="38"/>
      <c r="B8" s="33"/>
      <c r="C8" s="33"/>
      <c r="D8" s="33"/>
      <c r="E8" s="33"/>
      <c r="F8" s="72">
        <v>30</v>
      </c>
      <c r="G8" s="73">
        <f>G6*F8</f>
        <v>12960</v>
      </c>
      <c r="H8" s="37"/>
      <c r="I8" s="38"/>
      <c r="J8" s="33"/>
      <c r="K8" s="33"/>
      <c r="L8" s="33"/>
      <c r="M8" s="33"/>
      <c r="N8" s="33"/>
      <c r="O8" s="73">
        <f>SUM(O5:O7)</f>
        <v>7800</v>
      </c>
    </row>
    <row r="9" spans="1:17" ht="13.9" x14ac:dyDescent="0.4">
      <c r="A9" s="41"/>
      <c r="B9" s="34"/>
      <c r="C9" s="34"/>
      <c r="D9" s="34"/>
      <c r="E9" s="34"/>
      <c r="F9" s="34"/>
      <c r="G9" s="42"/>
      <c r="H9" s="33"/>
      <c r="I9" s="41"/>
      <c r="J9" s="34"/>
      <c r="K9" s="34"/>
      <c r="L9" s="34"/>
      <c r="M9" s="34"/>
      <c r="N9" s="34"/>
      <c r="O9" s="42"/>
    </row>
    <row r="10" spans="1:17" ht="13.9" x14ac:dyDescent="0.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7" ht="13.9" x14ac:dyDescent="0.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7" ht="13.9" x14ac:dyDescent="0.4">
      <c r="A12" s="43"/>
      <c r="B12" s="44"/>
      <c r="C12" s="44"/>
      <c r="D12" s="44"/>
      <c r="E12" s="44"/>
      <c r="F12" s="44"/>
      <c r="G12" s="45"/>
      <c r="H12" s="33"/>
      <c r="I12" s="43"/>
      <c r="J12" s="44"/>
      <c r="K12" s="44"/>
      <c r="L12" s="44"/>
      <c r="M12" s="44"/>
      <c r="N12" s="44"/>
      <c r="O12" s="45"/>
    </row>
    <row r="13" spans="1:17" ht="13.9" x14ac:dyDescent="0.4">
      <c r="A13" s="38" t="s">
        <v>240</v>
      </c>
      <c r="B13" s="33"/>
      <c r="C13" s="33" t="s">
        <v>64</v>
      </c>
      <c r="D13" s="33" t="s">
        <v>103</v>
      </c>
      <c r="E13" s="33" t="s">
        <v>110</v>
      </c>
      <c r="F13" s="33" t="s">
        <v>93</v>
      </c>
      <c r="G13" s="39"/>
      <c r="H13" s="33"/>
      <c r="I13" s="38" t="s">
        <v>62</v>
      </c>
      <c r="J13" s="33" t="s">
        <v>103</v>
      </c>
      <c r="K13" s="33" t="s">
        <v>104</v>
      </c>
      <c r="L13" s="33" t="s">
        <v>108</v>
      </c>
      <c r="M13" s="33" t="s">
        <v>62</v>
      </c>
      <c r="N13" s="33" t="s">
        <v>61</v>
      </c>
      <c r="O13" s="39"/>
    </row>
    <row r="14" spans="1:17" ht="13.9" x14ac:dyDescent="0.4">
      <c r="A14" s="38"/>
      <c r="B14" s="33" t="s">
        <v>241</v>
      </c>
      <c r="C14" s="33" t="s">
        <v>246</v>
      </c>
      <c r="D14" s="33">
        <v>6</v>
      </c>
      <c r="E14" s="33">
        <v>6</v>
      </c>
      <c r="F14" s="33">
        <v>11</v>
      </c>
      <c r="G14" s="71">
        <f>D14*E14*F14</f>
        <v>396</v>
      </c>
      <c r="H14" s="33"/>
      <c r="I14" s="38">
        <v>2</v>
      </c>
      <c r="J14" s="33">
        <v>6</v>
      </c>
      <c r="K14" s="74">
        <f>F14</f>
        <v>11</v>
      </c>
      <c r="L14" s="33">
        <v>1</v>
      </c>
      <c r="M14" s="74">
        <f>I14*K14*L14*J14</f>
        <v>132</v>
      </c>
      <c r="N14" s="37">
        <v>15</v>
      </c>
      <c r="O14" s="75">
        <f>M14*N14</f>
        <v>1980</v>
      </c>
      <c r="Q14">
        <f>D14*E14*F14*8</f>
        <v>3168</v>
      </c>
    </row>
    <row r="15" spans="1:17" ht="13.9" x14ac:dyDescent="0.4">
      <c r="A15" s="38"/>
      <c r="B15" s="33" t="s">
        <v>242</v>
      </c>
      <c r="C15" s="33" t="s">
        <v>243</v>
      </c>
      <c r="D15" s="33">
        <v>4</v>
      </c>
      <c r="E15" s="33">
        <v>5</v>
      </c>
      <c r="F15" s="33">
        <v>11</v>
      </c>
      <c r="G15" s="71">
        <f>D15*E15*F15</f>
        <v>220</v>
      </c>
      <c r="H15" s="33"/>
      <c r="I15" s="38">
        <v>2</v>
      </c>
      <c r="J15" s="33">
        <v>4</v>
      </c>
      <c r="K15" s="74">
        <f>F15</f>
        <v>11</v>
      </c>
      <c r="L15" s="33">
        <v>1</v>
      </c>
      <c r="M15" s="74">
        <f t="shared" ref="M15" si="0">I15*K15*L15*J15</f>
        <v>88</v>
      </c>
      <c r="N15" s="37">
        <v>15</v>
      </c>
      <c r="O15" s="75">
        <f>M15*N15</f>
        <v>1320</v>
      </c>
      <c r="Q15">
        <f>D15*E15*F15*4</f>
        <v>880</v>
      </c>
    </row>
    <row r="16" spans="1:17" ht="13.9" x14ac:dyDescent="0.4">
      <c r="A16" s="38"/>
      <c r="B16" s="33"/>
      <c r="C16" s="33"/>
      <c r="D16" s="33"/>
      <c r="E16" s="33"/>
      <c r="F16" s="33"/>
      <c r="G16" s="39"/>
      <c r="H16" s="33"/>
      <c r="I16" s="38"/>
      <c r="J16" s="33"/>
      <c r="K16" s="33"/>
      <c r="L16" s="33"/>
      <c r="M16" s="33"/>
      <c r="N16" s="37"/>
      <c r="O16" s="40"/>
    </row>
    <row r="17" spans="1:18" ht="13.9" x14ac:dyDescent="0.4">
      <c r="A17" s="38"/>
      <c r="B17" s="33"/>
      <c r="C17" s="33"/>
      <c r="D17" s="47"/>
      <c r="E17" s="48"/>
      <c r="F17" s="33"/>
      <c r="G17" s="71">
        <f>SUM(G14:G16)</f>
        <v>616</v>
      </c>
      <c r="H17" s="33"/>
      <c r="I17" s="38"/>
      <c r="J17" s="33"/>
      <c r="K17" s="33"/>
      <c r="L17" s="33"/>
      <c r="M17" s="33"/>
      <c r="N17" s="33"/>
      <c r="O17" s="39"/>
    </row>
    <row r="18" spans="1:18" ht="13.9" x14ac:dyDescent="0.4">
      <c r="A18" s="38"/>
      <c r="B18" s="33"/>
      <c r="C18" s="33"/>
      <c r="D18" s="33"/>
      <c r="E18" s="33"/>
      <c r="F18" s="33"/>
      <c r="G18" s="39"/>
      <c r="H18" s="33"/>
      <c r="I18" s="38"/>
      <c r="J18" s="33"/>
      <c r="K18" s="33"/>
      <c r="L18" s="33"/>
      <c r="M18" s="33"/>
      <c r="N18" s="33"/>
      <c r="O18" s="39"/>
    </row>
    <row r="19" spans="1:18" ht="13.9" x14ac:dyDescent="0.4">
      <c r="A19" s="38"/>
      <c r="B19" s="33"/>
      <c r="C19" s="33"/>
      <c r="D19" s="33"/>
      <c r="E19" s="33"/>
      <c r="F19" s="37">
        <v>3</v>
      </c>
      <c r="G19" s="73">
        <f>G17*F19</f>
        <v>1848</v>
      </c>
      <c r="H19" s="33"/>
      <c r="I19" s="38"/>
      <c r="J19" s="33"/>
      <c r="K19" s="33"/>
      <c r="L19" s="33"/>
      <c r="M19" s="33"/>
      <c r="N19" s="33"/>
      <c r="O19" s="73">
        <f>SUM(O14:O16)</f>
        <v>3300</v>
      </c>
      <c r="Q19" s="135"/>
      <c r="R19" s="136"/>
    </row>
    <row r="20" spans="1:18" ht="13.9" x14ac:dyDescent="0.4">
      <c r="A20" s="41"/>
      <c r="B20" s="34"/>
      <c r="C20" s="34"/>
      <c r="D20" s="34"/>
      <c r="E20" s="34"/>
      <c r="F20" s="34"/>
      <c r="G20" s="42"/>
      <c r="H20" s="33"/>
      <c r="I20" s="41"/>
      <c r="J20" s="34"/>
      <c r="K20" s="34"/>
      <c r="L20" s="34"/>
      <c r="M20" s="34"/>
      <c r="N20" s="34"/>
      <c r="O20" s="42"/>
    </row>
    <row r="21" spans="1:18" ht="13.9" x14ac:dyDescent="0.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8" ht="13.9" x14ac:dyDescent="0.4">
      <c r="A22" s="33"/>
      <c r="B22" s="33"/>
      <c r="C22" s="33"/>
      <c r="D22" s="33"/>
      <c r="E22" s="33"/>
      <c r="F22" s="49"/>
      <c r="G22" s="50"/>
      <c r="H22" s="50"/>
      <c r="I22" s="33"/>
      <c r="J22" s="33"/>
      <c r="K22" s="33"/>
      <c r="L22" s="33"/>
      <c r="M22" s="33"/>
      <c r="N22" s="33"/>
      <c r="O22" s="33"/>
    </row>
    <row r="23" spans="1:18" ht="13.9" x14ac:dyDescent="0.4">
      <c r="A23" s="43"/>
      <c r="B23" s="44"/>
      <c r="C23" s="44"/>
      <c r="D23" s="44"/>
      <c r="E23" s="44"/>
      <c r="F23" s="44"/>
      <c r="G23" s="45"/>
      <c r="H23" s="33"/>
      <c r="I23" s="43"/>
      <c r="J23" s="44"/>
      <c r="K23" s="44"/>
      <c r="L23" s="44"/>
      <c r="M23" s="44"/>
      <c r="N23" s="44"/>
      <c r="O23" s="45"/>
    </row>
    <row r="24" spans="1:18" ht="13.9" x14ac:dyDescent="0.4">
      <c r="A24" s="38" t="s">
        <v>209</v>
      </c>
      <c r="B24" s="33"/>
      <c r="C24" s="33" t="s">
        <v>64</v>
      </c>
      <c r="D24" s="33" t="s">
        <v>103</v>
      </c>
      <c r="E24" s="33" t="s">
        <v>110</v>
      </c>
      <c r="F24" s="33" t="s">
        <v>104</v>
      </c>
      <c r="G24" s="39"/>
      <c r="H24" s="33"/>
      <c r="I24" s="38" t="s">
        <v>62</v>
      </c>
      <c r="J24" s="33" t="s">
        <v>103</v>
      </c>
      <c r="K24" s="33" t="s">
        <v>104</v>
      </c>
      <c r="L24" s="33" t="s">
        <v>108</v>
      </c>
      <c r="M24" s="33" t="s">
        <v>62</v>
      </c>
      <c r="N24" s="33" t="s">
        <v>61</v>
      </c>
      <c r="O24" s="39"/>
    </row>
    <row r="25" spans="1:18" ht="13.9" x14ac:dyDescent="0.4">
      <c r="A25" s="38"/>
      <c r="B25" s="33"/>
      <c r="C25" s="33" t="s">
        <v>210</v>
      </c>
      <c r="D25" s="33">
        <v>3</v>
      </c>
      <c r="E25" s="33">
        <v>15</v>
      </c>
      <c r="F25" s="33">
        <v>8</v>
      </c>
      <c r="G25" s="71">
        <f>D25*E25*F25</f>
        <v>360</v>
      </c>
      <c r="H25" s="33"/>
      <c r="I25" s="38">
        <v>1</v>
      </c>
      <c r="J25" s="33">
        <v>3</v>
      </c>
      <c r="K25" s="74">
        <f>F25</f>
        <v>8</v>
      </c>
      <c r="L25" s="33">
        <v>9</v>
      </c>
      <c r="M25" s="74">
        <f>I25*K25*L25*J25</f>
        <v>216</v>
      </c>
      <c r="N25" s="37">
        <v>15</v>
      </c>
      <c r="O25" s="75">
        <f>M25*N25</f>
        <v>3240</v>
      </c>
      <c r="Q25">
        <f>D25*E25*F25*8</f>
        <v>2880</v>
      </c>
    </row>
    <row r="26" spans="1:18" ht="13.9" x14ac:dyDescent="0.4">
      <c r="A26" s="38"/>
      <c r="B26" s="33"/>
      <c r="C26" s="33" t="s">
        <v>111</v>
      </c>
      <c r="D26" s="33">
        <v>1</v>
      </c>
      <c r="E26" s="33">
        <v>15</v>
      </c>
      <c r="F26" s="33">
        <v>8</v>
      </c>
      <c r="G26" s="71">
        <f>D26*E26*F26</f>
        <v>120</v>
      </c>
      <c r="H26" s="33"/>
      <c r="I26" s="38">
        <v>1</v>
      </c>
      <c r="J26" s="33">
        <v>1</v>
      </c>
      <c r="K26" s="74">
        <f>F26</f>
        <v>8</v>
      </c>
      <c r="L26" s="33">
        <v>6</v>
      </c>
      <c r="M26" s="74">
        <f t="shared" ref="M26" si="1">I26*K26*L26*J26</f>
        <v>48</v>
      </c>
      <c r="N26" s="37">
        <v>15</v>
      </c>
      <c r="O26" s="75">
        <f>M26*N26</f>
        <v>720</v>
      </c>
      <c r="Q26">
        <f>D26*E26*F26*4</f>
        <v>480</v>
      </c>
    </row>
    <row r="27" spans="1:18" ht="13.9" x14ac:dyDescent="0.4">
      <c r="A27" s="38"/>
      <c r="B27" s="33"/>
      <c r="C27" s="33"/>
      <c r="D27" s="33"/>
      <c r="E27" s="33"/>
      <c r="F27" s="33"/>
      <c r="G27" s="39"/>
      <c r="H27" s="33"/>
      <c r="I27" s="38"/>
      <c r="J27" s="33"/>
      <c r="K27" s="33"/>
      <c r="L27" s="33"/>
      <c r="M27" s="33"/>
      <c r="N27" s="37"/>
      <c r="O27" s="40"/>
    </row>
    <row r="28" spans="1:18" ht="13.9" x14ac:dyDescent="0.4">
      <c r="A28" s="38"/>
      <c r="B28" s="33"/>
      <c r="C28" s="33"/>
      <c r="D28" s="47" t="s">
        <v>112</v>
      </c>
      <c r="E28" s="48">
        <v>0.7</v>
      </c>
      <c r="F28" s="74">
        <f>G28*E28</f>
        <v>336</v>
      </c>
      <c r="G28" s="71">
        <f>SUM(G25:G27)</f>
        <v>480</v>
      </c>
      <c r="H28" s="33"/>
      <c r="I28" s="38"/>
      <c r="J28" s="33"/>
      <c r="K28" s="33"/>
      <c r="L28" s="33"/>
      <c r="M28" s="33"/>
      <c r="N28" s="33"/>
      <c r="O28" s="39"/>
    </row>
    <row r="29" spans="1:18" ht="13.9" x14ac:dyDescent="0.4">
      <c r="A29" s="38"/>
      <c r="B29" s="33"/>
      <c r="C29" s="33"/>
      <c r="D29" s="33"/>
      <c r="E29" s="33"/>
      <c r="F29" s="33"/>
      <c r="G29" s="39"/>
      <c r="H29" s="33"/>
      <c r="I29" s="38"/>
      <c r="J29" s="33"/>
      <c r="K29" s="33"/>
      <c r="L29" s="33"/>
      <c r="M29" s="33"/>
      <c r="N29" s="33"/>
      <c r="O29" s="39"/>
    </row>
    <row r="30" spans="1:18" ht="13.9" x14ac:dyDescent="0.4">
      <c r="A30" s="38"/>
      <c r="B30" s="33"/>
      <c r="C30" s="33"/>
      <c r="D30" s="33"/>
      <c r="E30" s="33"/>
      <c r="F30" s="37">
        <v>40</v>
      </c>
      <c r="G30" s="73">
        <f>F28*F30</f>
        <v>13440</v>
      </c>
      <c r="H30" s="33"/>
      <c r="I30" s="38"/>
      <c r="J30" s="33"/>
      <c r="K30" s="33"/>
      <c r="L30" s="33"/>
      <c r="M30" s="33"/>
      <c r="N30" s="33"/>
      <c r="O30" s="73">
        <f>SUM(O25:O27)</f>
        <v>3960</v>
      </c>
      <c r="Q30" s="135"/>
      <c r="R30" s="136"/>
    </row>
    <row r="31" spans="1:18" ht="13.9" x14ac:dyDescent="0.4">
      <c r="A31" s="41"/>
      <c r="B31" s="34"/>
      <c r="C31" s="34"/>
      <c r="D31" s="34"/>
      <c r="E31" s="34"/>
      <c r="F31" s="34"/>
      <c r="G31" s="42"/>
      <c r="H31" s="33"/>
      <c r="I31" s="41"/>
      <c r="J31" s="34"/>
      <c r="K31" s="34"/>
      <c r="L31" s="34"/>
      <c r="M31" s="34"/>
      <c r="N31" s="34"/>
      <c r="O31" s="42"/>
    </row>
    <row r="32" spans="1:18" ht="13.9" x14ac:dyDescent="0.4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7" ht="13.9" x14ac:dyDescent="0.4">
      <c r="A33" s="43"/>
      <c r="B33" s="44"/>
      <c r="C33" s="44"/>
      <c r="D33" s="44"/>
      <c r="E33" s="44"/>
      <c r="F33" s="44"/>
      <c r="G33" s="45"/>
      <c r="H33" s="33"/>
      <c r="I33" s="43"/>
      <c r="J33" s="44"/>
      <c r="K33" s="44"/>
      <c r="L33" s="44"/>
      <c r="M33" s="44"/>
      <c r="N33" s="44"/>
      <c r="O33" s="45"/>
    </row>
    <row r="34" spans="1:17" ht="13.9" x14ac:dyDescent="0.4">
      <c r="A34" s="38" t="s">
        <v>211</v>
      </c>
      <c r="B34" s="33"/>
      <c r="C34" s="33"/>
      <c r="D34" s="33" t="s">
        <v>236</v>
      </c>
      <c r="E34" s="33" t="s">
        <v>93</v>
      </c>
      <c r="F34" s="33" t="s">
        <v>113</v>
      </c>
      <c r="G34" s="39"/>
      <c r="H34" s="33"/>
      <c r="I34" s="38" t="s">
        <v>62</v>
      </c>
      <c r="J34" s="33" t="s">
        <v>64</v>
      </c>
      <c r="K34" s="33" t="s">
        <v>104</v>
      </c>
      <c r="L34" s="33" t="s">
        <v>217</v>
      </c>
      <c r="M34" s="33"/>
      <c r="N34" s="33"/>
      <c r="O34" s="39"/>
    </row>
    <row r="35" spans="1:17" ht="13.9" x14ac:dyDescent="0.4">
      <c r="A35" s="38"/>
      <c r="B35" s="33" t="s">
        <v>212</v>
      </c>
      <c r="C35" s="33"/>
      <c r="D35" s="33">
        <v>40</v>
      </c>
      <c r="E35" s="33">
        <v>2</v>
      </c>
      <c r="F35" s="51">
        <v>50</v>
      </c>
      <c r="G35" s="76">
        <f>D35*E35*F35</f>
        <v>4000</v>
      </c>
      <c r="H35" s="33"/>
      <c r="I35" s="167">
        <v>2</v>
      </c>
      <c r="J35" s="33">
        <v>1</v>
      </c>
      <c r="K35" s="74">
        <v>8</v>
      </c>
      <c r="L35" s="33">
        <v>2</v>
      </c>
      <c r="M35" s="74">
        <f>I35*K35*L35*J35</f>
        <v>32</v>
      </c>
      <c r="N35" s="37">
        <v>20</v>
      </c>
      <c r="O35" s="75">
        <f>M35*N35</f>
        <v>640</v>
      </c>
      <c r="Q35">
        <f>D35*E35*4</f>
        <v>320</v>
      </c>
    </row>
    <row r="36" spans="1:17" ht="13.9" x14ac:dyDescent="0.4">
      <c r="A36" s="38"/>
      <c r="B36" s="33" t="s">
        <v>213</v>
      </c>
      <c r="C36" s="33"/>
      <c r="D36" s="33">
        <v>150</v>
      </c>
      <c r="E36" s="33">
        <v>2</v>
      </c>
      <c r="F36" s="51">
        <v>50</v>
      </c>
      <c r="G36" s="76">
        <f>D36*F36</f>
        <v>7500</v>
      </c>
      <c r="H36" s="33"/>
      <c r="I36" s="167">
        <v>4</v>
      </c>
      <c r="J36" s="33">
        <v>1</v>
      </c>
      <c r="K36" s="74">
        <v>8</v>
      </c>
      <c r="L36" s="33">
        <v>3</v>
      </c>
      <c r="M36" s="74">
        <f>I36*J36*K36*L36</f>
        <v>96</v>
      </c>
      <c r="N36" s="37">
        <v>20</v>
      </c>
      <c r="O36" s="75">
        <f>M36*N36</f>
        <v>1920</v>
      </c>
    </row>
    <row r="37" spans="1:17" ht="13.9" x14ac:dyDescent="0.4">
      <c r="A37" s="38"/>
      <c r="B37" s="33" t="s">
        <v>214</v>
      </c>
      <c r="C37" s="33"/>
      <c r="D37" s="33">
        <v>5</v>
      </c>
      <c r="E37" s="33">
        <v>2</v>
      </c>
      <c r="F37" s="51">
        <v>300</v>
      </c>
      <c r="G37" s="76">
        <f>D37*F37</f>
        <v>1500</v>
      </c>
      <c r="H37" s="33"/>
      <c r="I37" s="167">
        <v>2</v>
      </c>
      <c r="J37" s="33">
        <v>1</v>
      </c>
      <c r="K37" s="74">
        <f>E37*4</f>
        <v>8</v>
      </c>
      <c r="L37" s="33">
        <v>1</v>
      </c>
      <c r="M37" s="74">
        <f>I37*J37*K37*L37</f>
        <v>16</v>
      </c>
      <c r="N37" s="37">
        <v>20</v>
      </c>
      <c r="O37" s="75">
        <f>M37*N37</f>
        <v>320</v>
      </c>
      <c r="Q37">
        <f>D37*8*E37*4</f>
        <v>320</v>
      </c>
    </row>
    <row r="38" spans="1:17" ht="13.9" x14ac:dyDescent="0.4">
      <c r="A38" s="38"/>
      <c r="B38" s="33" t="s">
        <v>215</v>
      </c>
      <c r="C38" s="33"/>
      <c r="D38" s="33">
        <v>8</v>
      </c>
      <c r="E38" s="33">
        <v>2</v>
      </c>
      <c r="F38" s="51">
        <v>300</v>
      </c>
      <c r="G38" s="76">
        <f>D38*F38</f>
        <v>2400</v>
      </c>
      <c r="H38" s="33"/>
      <c r="I38" s="167">
        <v>4</v>
      </c>
      <c r="J38" s="33">
        <v>1</v>
      </c>
      <c r="K38" s="74">
        <f>E38*4</f>
        <v>8</v>
      </c>
      <c r="L38" s="33">
        <v>2</v>
      </c>
      <c r="M38" s="74">
        <f>I38*J38*K38*L38</f>
        <v>64</v>
      </c>
      <c r="N38" s="37">
        <v>20</v>
      </c>
      <c r="O38" s="75">
        <f>M38*N38</f>
        <v>1280</v>
      </c>
      <c r="Q38">
        <f>D38*8*E38*4</f>
        <v>512</v>
      </c>
    </row>
    <row r="39" spans="1:17" ht="13.9" x14ac:dyDescent="0.4">
      <c r="A39" s="38"/>
      <c r="B39" s="33" t="s">
        <v>239</v>
      </c>
      <c r="C39" s="33"/>
      <c r="D39" s="33">
        <v>20</v>
      </c>
      <c r="E39" s="33">
        <v>8</v>
      </c>
      <c r="F39" s="51">
        <v>20</v>
      </c>
      <c r="G39" s="76">
        <f>D39*E39*F39</f>
        <v>3200</v>
      </c>
      <c r="H39" s="33"/>
      <c r="I39" s="167"/>
      <c r="J39" s="33"/>
      <c r="K39" s="74"/>
      <c r="L39" s="33"/>
      <c r="M39" s="74"/>
      <c r="N39" s="37"/>
      <c r="O39" s="75"/>
    </row>
    <row r="40" spans="1:17" ht="13.9" x14ac:dyDescent="0.4">
      <c r="A40" s="38"/>
      <c r="B40" s="33" t="s">
        <v>216</v>
      </c>
      <c r="C40" s="33"/>
      <c r="D40" s="33"/>
      <c r="E40" s="33"/>
      <c r="F40" s="51"/>
      <c r="G40" s="76"/>
      <c r="H40" s="33"/>
      <c r="I40" s="167"/>
      <c r="J40" s="33"/>
      <c r="K40" s="74"/>
      <c r="L40" s="33"/>
      <c r="M40" s="74"/>
      <c r="N40" s="37"/>
      <c r="O40" s="75"/>
    </row>
    <row r="41" spans="1:17" ht="13.9" x14ac:dyDescent="0.4">
      <c r="A41" s="38"/>
      <c r="B41" s="33"/>
      <c r="C41" s="33"/>
      <c r="D41" s="33"/>
      <c r="E41" s="33"/>
      <c r="F41" s="33"/>
      <c r="G41" s="39"/>
      <c r="H41" s="33"/>
      <c r="I41" s="46"/>
      <c r="J41" s="33"/>
      <c r="K41" s="33"/>
      <c r="L41" s="33"/>
      <c r="M41" s="33"/>
      <c r="N41" s="37"/>
      <c r="O41" s="40"/>
    </row>
    <row r="42" spans="1:17" ht="13.9" x14ac:dyDescent="0.4">
      <c r="A42" s="38"/>
      <c r="B42" s="33"/>
      <c r="C42" s="33"/>
      <c r="D42" s="33"/>
      <c r="E42" s="33"/>
      <c r="F42" s="37"/>
      <c r="G42" s="73">
        <f>SUM(G35:G41)</f>
        <v>18600</v>
      </c>
      <c r="H42" s="33"/>
      <c r="I42" s="38"/>
      <c r="J42" s="33"/>
      <c r="K42" s="33"/>
      <c r="L42" s="33"/>
      <c r="M42" s="33"/>
      <c r="N42" s="33"/>
      <c r="O42" s="73">
        <f>SUM(O35:O41)</f>
        <v>4160</v>
      </c>
    </row>
    <row r="43" spans="1:17" ht="13.9" x14ac:dyDescent="0.4">
      <c r="A43" s="41"/>
      <c r="B43" s="34"/>
      <c r="C43" s="34"/>
      <c r="D43" s="34"/>
      <c r="E43" s="34"/>
      <c r="F43" s="34"/>
      <c r="G43" s="42"/>
      <c r="H43" s="33"/>
      <c r="I43" s="41"/>
      <c r="J43" s="34"/>
      <c r="K43" s="34"/>
      <c r="L43" s="34"/>
      <c r="M43" s="34"/>
      <c r="N43" s="34"/>
      <c r="O43" s="42"/>
    </row>
    <row r="44" spans="1:17" ht="13.9" x14ac:dyDescent="0.4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ht="13.9" x14ac:dyDescent="0.4">
      <c r="A45" s="33"/>
      <c r="B45" s="33"/>
      <c r="C45" s="33"/>
      <c r="D45" s="33"/>
      <c r="E45" s="33"/>
      <c r="F45" s="49"/>
      <c r="G45" s="50"/>
      <c r="H45" s="50"/>
      <c r="I45" s="33"/>
      <c r="J45" s="33"/>
      <c r="K45" s="33"/>
      <c r="L45" s="33"/>
      <c r="M45" s="33"/>
      <c r="N45" s="33"/>
      <c r="O45" s="33"/>
    </row>
    <row r="46" spans="1:17" ht="13.9" x14ac:dyDescent="0.4">
      <c r="A46" s="43"/>
      <c r="B46" s="44"/>
      <c r="C46" s="44"/>
      <c r="D46" s="44"/>
      <c r="E46" s="44"/>
      <c r="F46" s="44"/>
      <c r="G46" s="45"/>
      <c r="H46" s="33"/>
      <c r="I46" s="43"/>
      <c r="J46" s="44"/>
      <c r="K46" s="44"/>
      <c r="L46" s="44"/>
      <c r="M46" s="44"/>
      <c r="N46" s="44"/>
      <c r="O46" s="45"/>
    </row>
    <row r="47" spans="1:17" ht="13.9" x14ac:dyDescent="0.4">
      <c r="A47" s="38" t="s">
        <v>49</v>
      </c>
      <c r="B47" s="33"/>
      <c r="C47" s="33"/>
      <c r="D47" s="33"/>
      <c r="E47" s="33"/>
      <c r="F47" s="33"/>
      <c r="G47" s="39"/>
      <c r="H47" s="33"/>
      <c r="I47" s="38" t="s">
        <v>114</v>
      </c>
      <c r="J47" s="33"/>
      <c r="K47" s="33"/>
      <c r="L47" s="33"/>
      <c r="M47" s="33"/>
      <c r="N47" s="33"/>
      <c r="O47" s="39"/>
    </row>
    <row r="48" spans="1:17" ht="15.4" x14ac:dyDescent="0.45">
      <c r="A48" s="38"/>
      <c r="B48" s="33"/>
      <c r="C48" s="33"/>
      <c r="D48" s="33" t="s">
        <v>115</v>
      </c>
      <c r="E48" s="33" t="s">
        <v>61</v>
      </c>
      <c r="F48" s="33" t="s">
        <v>63</v>
      </c>
      <c r="G48" s="39"/>
      <c r="H48" s="33"/>
      <c r="I48" s="38"/>
      <c r="J48" s="33"/>
      <c r="K48" s="10" t="s">
        <v>115</v>
      </c>
      <c r="L48" s="10" t="s">
        <v>61</v>
      </c>
      <c r="M48" s="10" t="s">
        <v>62</v>
      </c>
      <c r="N48" s="10" t="s">
        <v>63</v>
      </c>
      <c r="O48" s="77"/>
    </row>
    <row r="49" spans="1:17" ht="15.4" x14ac:dyDescent="0.45">
      <c r="A49" s="38"/>
      <c r="B49" s="33"/>
      <c r="C49" s="33"/>
      <c r="D49" s="33">
        <v>2</v>
      </c>
      <c r="E49" s="51">
        <v>200</v>
      </c>
      <c r="F49" s="33">
        <v>30</v>
      </c>
      <c r="G49" s="75">
        <f>D49*E49*F49</f>
        <v>12000</v>
      </c>
      <c r="H49" s="33"/>
      <c r="I49" s="38"/>
      <c r="J49" s="33"/>
      <c r="K49" s="62">
        <f>D49</f>
        <v>2</v>
      </c>
      <c r="L49" s="8">
        <v>15</v>
      </c>
      <c r="M49" s="10">
        <v>2</v>
      </c>
      <c r="N49" s="10">
        <f>F49</f>
        <v>30</v>
      </c>
      <c r="O49" s="151">
        <f>K49*L49*N49*M49</f>
        <v>1800</v>
      </c>
      <c r="Q49">
        <f>D49*F49*12</f>
        <v>720</v>
      </c>
    </row>
    <row r="50" spans="1:17" ht="15.4" x14ac:dyDescent="0.45">
      <c r="A50" s="38"/>
      <c r="B50" s="33"/>
      <c r="C50" s="33"/>
      <c r="D50" s="33"/>
      <c r="E50" s="51"/>
      <c r="F50" s="33"/>
      <c r="G50" s="52"/>
      <c r="H50" s="33"/>
      <c r="I50" s="38"/>
      <c r="J50" s="33"/>
      <c r="K50" s="10"/>
      <c r="L50" s="8"/>
      <c r="M50" s="10"/>
      <c r="N50" s="10"/>
      <c r="O50" s="78"/>
    </row>
    <row r="51" spans="1:17" ht="13.9" x14ac:dyDescent="0.4">
      <c r="A51" s="41"/>
      <c r="B51" s="34"/>
      <c r="C51" s="34"/>
      <c r="D51" s="34"/>
      <c r="E51" s="35" t="s">
        <v>116</v>
      </c>
      <c r="F51" s="82">
        <f>(D49*F49)</f>
        <v>60</v>
      </c>
      <c r="G51" s="79">
        <f>SUM(G49:G50)</f>
        <v>12000</v>
      </c>
      <c r="H51" s="33"/>
      <c r="I51" s="41"/>
      <c r="J51" s="34"/>
      <c r="K51" s="34"/>
      <c r="L51" s="34"/>
      <c r="M51" s="34"/>
      <c r="N51" s="34"/>
      <c r="O51" s="42"/>
    </row>
    <row r="52" spans="1:17" ht="13.9" x14ac:dyDescent="0.4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7" ht="13.9" x14ac:dyDescent="0.4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7" ht="13.9" x14ac:dyDescent="0.4">
      <c r="A54" s="43"/>
      <c r="B54" s="44"/>
      <c r="C54" s="44"/>
      <c r="D54" s="44"/>
      <c r="E54" s="44"/>
      <c r="F54" s="44"/>
      <c r="G54" s="45"/>
      <c r="H54" s="33"/>
      <c r="I54" s="33"/>
      <c r="J54" s="33"/>
      <c r="K54" s="33"/>
      <c r="L54" s="33"/>
      <c r="M54" s="33"/>
      <c r="N54" s="33"/>
      <c r="O54" s="33"/>
    </row>
    <row r="55" spans="1:17" ht="13.9" x14ac:dyDescent="0.4">
      <c r="A55" s="38" t="s">
        <v>218</v>
      </c>
      <c r="B55" s="33"/>
      <c r="C55" s="33"/>
      <c r="D55" s="33"/>
      <c r="E55" s="33"/>
      <c r="F55" s="33"/>
      <c r="G55" s="39"/>
      <c r="H55" s="33"/>
      <c r="I55" s="33"/>
      <c r="J55" s="33"/>
      <c r="K55" s="33"/>
      <c r="L55" s="33"/>
      <c r="M55" s="33"/>
      <c r="N55" s="33"/>
      <c r="O55" s="33"/>
    </row>
    <row r="56" spans="1:17" ht="13.9" x14ac:dyDescent="0.4">
      <c r="A56" s="38"/>
      <c r="B56" s="33"/>
      <c r="C56" s="33"/>
      <c r="D56" s="33" t="s">
        <v>117</v>
      </c>
      <c r="E56" s="33" t="s">
        <v>85</v>
      </c>
      <c r="F56" s="33" t="s">
        <v>113</v>
      </c>
      <c r="G56" s="39"/>
      <c r="H56" s="33"/>
      <c r="I56" s="33"/>
      <c r="J56" s="33"/>
      <c r="K56" s="33"/>
      <c r="L56" s="33"/>
      <c r="M56" s="33"/>
      <c r="N56" s="33"/>
      <c r="O56" s="33"/>
    </row>
    <row r="57" spans="1:17" ht="13.9" x14ac:dyDescent="0.4">
      <c r="A57" s="38"/>
      <c r="B57" s="33"/>
      <c r="C57" s="33"/>
      <c r="D57" s="33">
        <v>3</v>
      </c>
      <c r="E57" s="33">
        <v>150</v>
      </c>
      <c r="F57" s="37">
        <v>5</v>
      </c>
      <c r="G57" s="73">
        <f>D57*E57*F57</f>
        <v>2250</v>
      </c>
      <c r="H57" s="33"/>
      <c r="I57" s="33"/>
      <c r="J57" s="33"/>
      <c r="K57" s="33"/>
      <c r="L57" s="33"/>
      <c r="M57" s="33"/>
      <c r="N57" s="33"/>
      <c r="O57" s="33"/>
    </row>
    <row r="58" spans="1:17" ht="13.9" x14ac:dyDescent="0.4">
      <c r="A58" s="41"/>
      <c r="B58" s="34"/>
      <c r="C58" s="34"/>
      <c r="D58" s="34"/>
      <c r="E58" s="34"/>
      <c r="F58" s="34"/>
      <c r="G58" s="42"/>
      <c r="H58" s="33"/>
      <c r="I58" s="33"/>
      <c r="J58" s="33"/>
      <c r="K58" s="33"/>
      <c r="L58" s="33"/>
      <c r="M58" s="33"/>
      <c r="N58" s="33"/>
      <c r="O58" s="33"/>
    </row>
    <row r="59" spans="1:17" ht="13.9" x14ac:dyDescent="0.4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7" ht="13.9" x14ac:dyDescent="0.4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7" ht="13.9" x14ac:dyDescent="0.4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7" ht="13.9" x14ac:dyDescent="0.4">
      <c r="A62" s="33"/>
      <c r="B62" s="33"/>
      <c r="C62" s="33"/>
      <c r="D62" s="33"/>
      <c r="E62" s="33"/>
      <c r="F62" s="49" t="s">
        <v>48</v>
      </c>
      <c r="G62" s="80">
        <f>G8+G19+G30+G42+G57</f>
        <v>49098</v>
      </c>
      <c r="H62" s="33"/>
      <c r="I62" s="33"/>
      <c r="J62" s="33"/>
      <c r="K62" s="33"/>
      <c r="L62" s="33"/>
      <c r="M62" s="33"/>
      <c r="N62" s="49" t="s">
        <v>219</v>
      </c>
      <c r="O62" s="80">
        <f>O8+O49+O19+O30+O42</f>
        <v>21020</v>
      </c>
      <c r="Q62">
        <f>SUM(Q3:Q61)</f>
        <v>10304</v>
      </c>
    </row>
    <row r="63" spans="1:17" ht="13.9" x14ac:dyDescent="0.4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7" ht="13.9" x14ac:dyDescent="0.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</sheetData>
  <pageMargins left="0.7" right="0.7" top="0.75" bottom="0.75" header="0.3" footer="0.3"/>
  <pageSetup scale="51" orientation="portrait" r:id="rId1"/>
  <headerFooter>
    <oddHeader>&amp;LProgram Revenue Option #1&amp;R&amp;P</oddHeader>
    <oddFooter>&amp;LBallard*King &amp; Associates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569F3C615EB947A788DA5A0173A59D" ma:contentTypeVersion="4" ma:contentTypeDescription="Create a new document." ma:contentTypeScope="" ma:versionID="5d284d1b77cf14bf7d468750500d156b">
  <xsd:schema xmlns:xsd="http://www.w3.org/2001/XMLSchema" xmlns:xs="http://www.w3.org/2001/XMLSchema" xmlns:p="http://schemas.microsoft.com/office/2006/metadata/properties" xmlns:ns2="7eb7b1d2-9240-49fe-b0c3-011a95b3e335" xmlns:ns3="e8885fe9-c95b-4b2e-ae87-6fe36bae9e9d" targetNamespace="http://schemas.microsoft.com/office/2006/metadata/properties" ma:root="true" ma:fieldsID="43a132f190265f290b11931836f50881" ns2:_="" ns3:_="">
    <xsd:import namespace="7eb7b1d2-9240-49fe-b0c3-011a95b3e335"/>
    <xsd:import namespace="e8885fe9-c95b-4b2e-ae87-6fe36bae9e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7b1d2-9240-49fe-b0c3-011a95b3e3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5fe9-c95b-4b2e-ae87-6fe36bae9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B00606-84B6-4156-9622-8C6EEC049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7b1d2-9240-49fe-b0c3-011a95b3e335"/>
    <ds:schemaRef ds:uri="e8885fe9-c95b-4b2e-ae87-6fe36bae9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5972D-3591-4712-84F8-100697EF4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03152-FBB3-47A9-876A-2956ACEF7F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5-Year Comparison</vt:lpstr>
      <vt:lpstr>Expenses</vt:lpstr>
      <vt:lpstr>Revenues</vt:lpstr>
      <vt:lpstr>Parttimestaff</vt:lpstr>
      <vt:lpstr>Fulltimestaff</vt:lpstr>
      <vt:lpstr>PTstaffdetail1</vt:lpstr>
      <vt:lpstr>Admissionrevenue1</vt:lpstr>
      <vt:lpstr>Rentalrevenue1</vt:lpstr>
      <vt:lpstr>Programrevenue1</vt:lpstr>
      <vt:lpstr>'5-Year Comparison'!Print_Area</vt:lpstr>
      <vt:lpstr>Admissionrevenue1!Print_Area</vt:lpstr>
      <vt:lpstr>Expenses!Print_Area</vt:lpstr>
      <vt:lpstr>Fulltimestaff!Print_Area</vt:lpstr>
      <vt:lpstr>Parttimestaff!Print_Area</vt:lpstr>
      <vt:lpstr>Programrevenue1!Print_Area</vt:lpstr>
      <vt:lpstr>PTstaffdetail1!Print_Area</vt:lpstr>
      <vt:lpstr>Rentalrevenue1!Print_Area</vt:lpstr>
      <vt:lpstr>Revenues!Print_Area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Ballard</dc:creator>
  <cp:keywords/>
  <dc:description/>
  <cp:lastModifiedBy>Scott Caron</cp:lastModifiedBy>
  <cp:revision/>
  <dcterms:created xsi:type="dcterms:W3CDTF">2001-01-24T03:48:43Z</dcterms:created>
  <dcterms:modified xsi:type="dcterms:W3CDTF">2023-04-11T19:37:04Z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0x0101008D569F3C615EB947A788DA5A0173A59D</vt:lpwstr>
  </property>
</Properties>
</file>